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0" windowWidth="14895" windowHeight="5490"/>
  </bookViews>
  <sheets>
    <sheet name="Cover page" sheetId="52" r:id="rId1"/>
    <sheet name="Instructions" sheetId="51" r:id="rId2"/>
    <sheet name="Recommendations" sheetId="48" r:id="rId3"/>
    <sheet name="Select local population" sheetId="34" r:id="rId4"/>
    <sheet name="Unit costs" sheetId="36" r:id="rId5"/>
    <sheet name="Costing template" sheetId="37" r:id="rId6"/>
    <sheet name="Cost summary" sheetId="45" r:id="rId7"/>
    <sheet name="AFC pay" sheetId="50" state="hidden" r:id="rId8"/>
  </sheets>
  <externalReferences>
    <externalReference r:id="rId9"/>
    <externalReference r:id="rId10"/>
    <externalReference r:id="rId11"/>
  </externalReferences>
  <definedNames>
    <definedName name="_Key1" hidden="1">#REF!</definedName>
    <definedName name="_Order1" hidden="1">255</definedName>
    <definedName name="_Sort" hidden="1">#REF!</definedName>
    <definedName name="Additional_mammograms_50to59">'Unit costs'!#REF!</definedName>
    <definedName name="Array">[1]TitlePage!D32:H33</definedName>
    <definedName name="BRCA_carrier_aged_49">'[2]4.Assumptions and pathways'!$M$49</definedName>
    <definedName name="BRCA_carrier_aged39">'[2]4.Assumptions and pathways'!$K$49</definedName>
    <definedName name="BRCA_carrier_aged69">'[2]4.Assumptions and pathways'!$Q$49</definedName>
    <definedName name="BRCA_carrier_dense_aged49">'[2]4.Assumptions and pathways'!$M$50</definedName>
    <definedName name="BRCA_carrier_dense_aged69">'[2]4.Assumptions and pathways'!$Q$50</definedName>
    <definedName name="BRCAcarrier_aged40to49">'Unit costs'!#REF!</definedName>
    <definedName name="BRCAcarrier_aged50to59">'Unit costs'!#REF!</definedName>
    <definedName name="BRCAcarrier_aged60to69">'Unit costs'!#REF!</definedName>
    <definedName name="BRCAcarrier_dense_aged50to59">'Unit costs'!#REF!</definedName>
    <definedName name="BRCAcarrier_dense_aged60to69">'Unit costs'!#REF!</definedName>
    <definedName name="Chemo_annual_increase">'Unit costs'!$D$73</definedName>
    <definedName name="Chemoprevention_uptake">'Unit costs'!$D$67</definedName>
    <definedName name="Cur_offered_GT">'Unit costs'!$D$31</definedName>
    <definedName name="Current_mammography">'Unit costs'!$D$55</definedName>
    <definedName name="Current_mammography_18monthly">'Unit costs'!$D$47</definedName>
    <definedName name="Current_MRI">'Unit costs'!$D$58</definedName>
    <definedName name="Data">[1]TitlePage!F16:F21</definedName>
    <definedName name="Eligible_genetic_testing_aged20to29">'[2]4.Assumptions and pathways'!$H$30</definedName>
    <definedName name="Eligible_genetic_testing_aged30to39">'[2]4.Assumptions and pathways'!$J$30</definedName>
    <definedName name="Eligible_genetic_testing_aged40to49">'[2]4.Assumptions and pathways'!$L$30</definedName>
    <definedName name="Eligible_genetic_testing_aged50to59">'[2]4.Assumptions and pathways'!$N$30</definedName>
    <definedName name="Eligible_genetic_testing_aged60to69">'[2]4.Assumptions and pathways'!$P$30</definedName>
    <definedName name="Eligible_genetic_testing_aged70plus">'[2]4.Assumptions and pathways'!$R$30</definedName>
    <definedName name="Eligible_pop_aged19">'[2]4.Assumptions and pathways'!$G$8</definedName>
    <definedName name="Eligible_pop_aged20to29">'[2]4.Assumptions and pathways'!$H$8</definedName>
    <definedName name="Eligible_pop_aged29">'[2]4.Assumptions and pathways'!$I$8</definedName>
    <definedName name="Eligible_pop_aged30to39">'[2]4.Assumptions and pathways'!$J$10</definedName>
    <definedName name="Eligible_pop_aged39">'[2]4.Assumptions and pathways'!$K$10</definedName>
    <definedName name="Eligible_pop_aged40to49">'[2]4.Assumptions and pathways'!$L$12</definedName>
    <definedName name="Eligible_pop_aged49">'[2]4.Assumptions and pathways'!$M$12</definedName>
    <definedName name="Eligible_pop_aged50to59">'[2]4.Assumptions and pathways'!$N$14</definedName>
    <definedName name="Eligible_pop_aged59">'[2]4.Assumptions and pathways'!$O$14</definedName>
    <definedName name="Eligible_pop_aged60to69">'[2]4.Assumptions and pathways'!$P$16</definedName>
    <definedName name="Eligible_pop_aged69">'[2]4.Assumptions and pathways'!$Q$18</definedName>
    <definedName name="Eligible_pop_aged70plus">'[2]4.Assumptions and pathways'!$R$18</definedName>
    <definedName name="Eligible_testing">'Unit costs'!#REF!</definedName>
    <definedName name="Future_mammography">'Unit costs'!$D$56</definedName>
    <definedName name="Future_MRI">'Unit costs'!$D$59</definedName>
    <definedName name="Genetic_testing_no_sample_available">'[2]4.Assumptions and pathways'!$C$30</definedName>
    <definedName name="GP_visit_annual_cost">#REF!</definedName>
    <definedName name="h" localSheetId="5">#REF!</definedName>
    <definedName name="h" comment="what" localSheetId="3">#REF!</definedName>
    <definedName name="h" localSheetId="4">#REF!</definedName>
    <definedName name="h">#REF!</definedName>
    <definedName name="Incidence_aged20to29">'[2]4.Assumptions and pathways'!$C$21</definedName>
    <definedName name="Incidence_aged30to39">'[2]4.Assumptions and pathways'!$C$22</definedName>
    <definedName name="Incidence_aged40to49">'[2]4.Assumptions and pathways'!$C$23</definedName>
    <definedName name="Incidence_aged50to59">'[2]4.Assumptions and pathways'!$C$24</definedName>
    <definedName name="Incidence_aged60to69">'[2]4.Assumptions and pathways'!$C$25</definedName>
    <definedName name="Incidence_aged70plus">'[2]4.Assumptions and pathways'!$C$26</definedName>
    <definedName name="Less30_aged39">'[2]4.Assumptions and pathways'!$K$46</definedName>
    <definedName name="Less30_aged40to49">'Unit costs'!#REF!</definedName>
    <definedName name="Less30_aged50to59">'Unit costs'!#REF!</definedName>
    <definedName name="Less30_aged59">'[2]4.Assumptions and pathways'!$O$46</definedName>
    <definedName name="LocalData">[1]TitlePage!G16:G22</definedName>
    <definedName name="Not_currently_offered_GT">'Unit costs'!$D$32</definedName>
    <definedName name="Number_GP_visits">'[2]5.Unit costs'!$D$25</definedName>
    <definedName name="Personal_history_aged29">'[2]4.Assumptions and pathways'!$I$54</definedName>
    <definedName name="Personal_history_aged30to39">'Unit costs'!#REF!</definedName>
    <definedName name="Personal_history_aged40to49">'Unit costs'!#REF!</definedName>
    <definedName name="Personal_history_aged49">'[2]4.Assumptions and pathways'!$M$54</definedName>
    <definedName name="Personal_history_aged50to59">'Unit costs'!#REF!</definedName>
    <definedName name="Personal_history_aged60to69">'Unit costs'!#REF!</definedName>
    <definedName name="Population" localSheetId="5">#REF!</definedName>
    <definedName name="Population" localSheetId="3">#REF!</definedName>
    <definedName name="Population" localSheetId="4">#REF!</definedName>
    <definedName name="Population">#REF!</definedName>
    <definedName name="_xlnm.Print_Area" localSheetId="5">'Costing template'!$B$7:$F$17</definedName>
    <definedName name="_xlnm.Print_Area" localSheetId="3">'Select local population'!#REF!</definedName>
    <definedName name="_xlnm.Print_Area" localSheetId="4">'Unit costs'!$B$2:$G$94</definedName>
    <definedName name="_xlnm.Print_Area">#REF!</definedName>
    <definedName name="ProjBirths">[3]Scratchpad!#REF!</definedName>
    <definedName name="Proportion_dense">'Unit costs'!$D$53</definedName>
    <definedName name="Receive_chemo_five_years">'Unit costs'!$D$69</definedName>
    <definedName name="Scotland_BRCA_carrier_aged39">'[2]4.Assumptions and pathways'!$Y$49</definedName>
    <definedName name="Scotland_BRCA_carrier_aged40to49">'[2]4.Assumptions and pathways'!$Z$49</definedName>
    <definedName name="Scotland_BRCA_carrier_aged49">'[2]4.Assumptions and pathways'!$AA$49</definedName>
    <definedName name="Scotland_BRCA_carrier_aged50to59">'[2]4.Assumptions and pathways'!$AB$49</definedName>
    <definedName name="Scotland_BRCA_carrier_aged60to69">'[2]4.Assumptions and pathways'!$AD$49</definedName>
    <definedName name="Scotland_BRCA_carrier_aged69">'[2]4.Assumptions and pathways'!$AE$49</definedName>
    <definedName name="Scotland_BRCA_carrier_dense_aged50to59">'[2]4.Assumptions and pathways'!$AB$50</definedName>
    <definedName name="Scotland_BRCA_carrier_dense_aged60to69">'[2]4.Assumptions and pathways'!$AD$50</definedName>
    <definedName name="Scotland_eligible_genetic_testing">'[2]4.Assumptions and pathways'!$X$34</definedName>
    <definedName name="Scotland_eligible_genetic_testing_aged_70plus">'[2]4.Assumptions and pathways'!$AF$30</definedName>
    <definedName name="Scotland_eligible_genetic_testing_aged20to29">'[2]4.Assumptions and pathways'!$V$30</definedName>
    <definedName name="Scotland_eligible_genetic_testing_aged30to39">'[2]4.Assumptions and pathways'!$X$30</definedName>
    <definedName name="Scotland_eligible_genetic_testing_aged40to49">'[2]4.Assumptions and pathways'!$Z$30</definedName>
    <definedName name="Scotland_eligible_genetic_testing_aged50to59">'[2]4.Assumptions and pathways'!$AB$30</definedName>
    <definedName name="Scotland_eligible_genetic_testing_aged60to69">'[2]4.Assumptions and pathways'!$AD$30</definedName>
    <definedName name="Scotland_eligible_pop_aged19">'[2]4.Assumptions and pathways'!$U$8</definedName>
    <definedName name="Scotland_eligible_pop_aged20to29">'[2]4.Assumptions and pathways'!$V$8</definedName>
    <definedName name="Scotland_eligible_pop_aged29">'[2]4.Assumptions and pathways'!$W$8</definedName>
    <definedName name="Scotland_eligible_pop_aged30to39">'[2]4.Assumptions and pathways'!$X$10</definedName>
    <definedName name="Scotland_eligible_pop_aged39">'[2]4.Assumptions and pathways'!$Y$10</definedName>
    <definedName name="Scotland_eligible_pop_aged40to49">'[2]4.Assumptions and pathways'!$Z$12</definedName>
    <definedName name="Scotland_eligible_pop_aged49">'[2]4.Assumptions and pathways'!$AA$12</definedName>
    <definedName name="Scotland_eligible_pop_aged50to59">'[2]4.Assumptions and pathways'!$AB$14</definedName>
    <definedName name="Scotland_eligible_pop_aged59">'[2]4.Assumptions and pathways'!$AC$14</definedName>
    <definedName name="Scotland_eligible_pop_aged60to69">'[2]4.Assumptions and pathways'!$AD$16</definedName>
    <definedName name="Scotland_eligible_pop_aged69">'[2]4.Assumptions and pathways'!$AE$18</definedName>
    <definedName name="Scotland_eligible_pop_aged70plus">'[2]4.Assumptions and pathways'!$AF$18</definedName>
    <definedName name="Scotland_less30_aged39">'[2]4.Assumptions and pathways'!$Y$46</definedName>
    <definedName name="Scotland_less30_aged40to49">'[2]4.Assumptions and pathways'!$Z$46</definedName>
    <definedName name="Scotland_less30_aged50to59">'[2]4.Assumptions and pathways'!$AB$46</definedName>
    <definedName name="Scotland_less30_aged59">'[2]4.Assumptions and pathways'!$AC$46</definedName>
    <definedName name="Scotland_pers_history_aged29">'[2]4.Assumptions and pathways'!$W$54</definedName>
    <definedName name="Scotland_personal_history_aged30to39">'[2]4.Assumptions and pathways'!$X$54</definedName>
    <definedName name="Scotland_personal_history_aged40to49">'[2]4.Assumptions and pathways'!$Z$54</definedName>
    <definedName name="Scotland_personal_history_aged49">'[2]4.Assumptions and pathways'!$AA$54</definedName>
    <definedName name="Scotland_untested_greater_30_aged30to39">'[2]4.Assumptions and pathways'!$X$47</definedName>
    <definedName name="Scotland_untested_greater_30_aged50to59">'[2]4.Assumptions and pathways'!$AB$47</definedName>
    <definedName name="Scotland_untested_greater30_aged20to29">'[2]4.Assumptions and pathways'!$V$47</definedName>
    <definedName name="Scotland_untested_greater30_aged40to49">'[2]4.Assumptions and pathways'!$Z$47</definedName>
    <definedName name="Scotland_untested_greater30_aged49">'[2]4.Assumptions and pathways'!$AA$47</definedName>
    <definedName name="Scotland_untested_greater30_aged60to69">'[2]4.Assumptions and pathways'!$AD$47</definedName>
    <definedName name="Scotland_untested_greater30_dense_aged49">'[2]4.Assumptions and pathways'!$AA$48</definedName>
    <definedName name="Scotland_untested_greater30_dense_aged50to59">'[2]4.Assumptions and pathways'!$AB$48</definedName>
    <definedName name="Scotland_untested_greater30_dense_aged60to69">'[2]4.Assumptions and pathways'!$AD$48</definedName>
    <definedName name="Scotland_untested_greater30_dense_aged69">'[2]4.Assumptions and pathways'!$AE$48</definedName>
    <definedName name="Scotland_untested_more30_aged19">'[2]4.Assumptions and pathways'!$U$47</definedName>
    <definedName name="Scotland_untested_more30_aged39">'[2]4.Assumptions and pathways'!$Y$47</definedName>
    <definedName name="Scotland_untested_more30_aged59">'[2]4.Assumptions and pathways'!$AC$47</definedName>
    <definedName name="Scotland_untested_more30_aged69">'[2]4.Assumptions and pathways'!$AE$47</definedName>
    <definedName name="Scotland_with_breast_cancer_aged20to29">'[2]4.Assumptions and pathways'!$V$21</definedName>
    <definedName name="Scotland_with_breast_cancer_aged30to39">'[2]4.Assumptions and pathways'!$X$22</definedName>
    <definedName name="Scotland_with_breast_cancer_aged40to49">'[2]4.Assumptions and pathways'!$Z$23</definedName>
    <definedName name="Scotland_with_breast_cancer_aged50to59">'[2]4.Assumptions and pathways'!$AB$24</definedName>
    <definedName name="Scotland_with_breast_cancer_aged60to69">'[2]4.Assumptions and pathways'!$AD$25</definedName>
    <definedName name="Scotland_with_breast_cancer_aged70plus">'[2]4.Assumptions and pathways'!$AF$26</definedName>
    <definedName name="SPSS">#REF!</definedName>
    <definedName name="Stop_chemo_after_one_year">'Unit costs'!$D$68</definedName>
    <definedName name="Tamoxifen_annualcost">#REF!</definedName>
    <definedName name="Unit_cost_digital_mammography">'[2]5.Unit costs'!$D$17</definedName>
    <definedName name="Unit_cost_genetic_testing">'[2]5.Unit costs'!$E$12</definedName>
    <definedName name="Unit_cost_MRI">'[2]5.Unit costs'!$D$18</definedName>
    <definedName name="Untested_greater30_aged20to29">'Unit costs'!#REF!</definedName>
    <definedName name="Untested_greater30_aged30to39">'Unit costs'!#REF!</definedName>
    <definedName name="Untested_greater30_aged60to69">'Unit costs'!#REF!</definedName>
    <definedName name="Untested_greater30_dense_aged49">'[2]4.Assumptions and pathways'!$M$48</definedName>
    <definedName name="Untested_greater30_dense_aged50to59">'Unit costs'!#REF!</definedName>
    <definedName name="Untested_greater30_dense_aged60to69">'Unit costs'!#REF!</definedName>
    <definedName name="Untested_greater30_dense_aged69">'[2]4.Assumptions and pathways'!$Q$48</definedName>
    <definedName name="Untested_more30_aged19">'[2]4.Assumptions and pathways'!$G$47</definedName>
    <definedName name="Untested_more30_aged39">'[2]4.Assumptions and pathways'!$K$47</definedName>
    <definedName name="Untested_more30_aged40to49">'Unit costs'!#REF!</definedName>
    <definedName name="Untested_more30_aged49">'[2]4.Assumptions and pathways'!$M$47</definedName>
    <definedName name="Untested_more30_aged50to59">'Unit costs'!#REF!</definedName>
    <definedName name="Untested_more30_aged59">'[2]4.Assumptions and pathways'!$O$47</definedName>
    <definedName name="Untested_more30_aged69">'[2]4.Assumptions and pathways'!$Q$47</definedName>
    <definedName name="Uptake_genetic_testing">'Unit costs'!$D$41</definedName>
    <definedName name="With_breast_cancer_aged20to29">'[2]4.Assumptions and pathways'!$H$21</definedName>
    <definedName name="With_breast_cancer_aged30to39">'[2]4.Assumptions and pathways'!$J$22</definedName>
    <definedName name="With_breast_cancer_aged40to49">'[2]4.Assumptions and pathways'!$L$23</definedName>
    <definedName name="With_breast_cancer_aged50to59">'[2]4.Assumptions and pathways'!$N$24</definedName>
    <definedName name="With_breast_cancer_aged60to69">'[2]4.Assumptions and pathways'!$P$25</definedName>
    <definedName name="With_breast_cancer_aged70plus">'[2]4.Assumptions and pathways'!$R$26</definedName>
  </definedNames>
  <calcPr calcId="125725"/>
  <fileRecoveryPr repairLoad="1"/>
</workbook>
</file>

<file path=xl/calcChain.xml><?xml version="1.0" encoding="utf-8"?>
<calcChain xmlns="http://schemas.openxmlformats.org/spreadsheetml/2006/main">
  <c r="D8" i="34"/>
  <c r="K8" s="1"/>
  <c r="D11"/>
  <c r="E11"/>
  <c r="F11"/>
  <c r="F12"/>
  <c r="E12"/>
  <c r="D12"/>
  <c r="C16"/>
  <c r="C13"/>
  <c r="D14"/>
  <c r="K14" s="1"/>
  <c r="D17"/>
  <c r="K17" s="1"/>
  <c r="E20"/>
  <c r="F17"/>
  <c r="K20"/>
  <c r="K16"/>
  <c r="K13"/>
  <c r="Q16"/>
  <c r="U16" s="1"/>
  <c r="Q20"/>
  <c r="U8"/>
  <c r="U11"/>
  <c r="U12"/>
  <c r="U13"/>
  <c r="U14"/>
  <c r="U17"/>
  <c r="U20"/>
  <c r="K11" l="1"/>
  <c r="K12"/>
  <c r="I16"/>
  <c r="V8"/>
  <c r="S8"/>
  <c r="I8"/>
  <c r="V20"/>
  <c r="V16"/>
  <c r="V13"/>
  <c r="V14"/>
  <c r="S17"/>
  <c r="S12"/>
  <c r="S13"/>
  <c r="S14"/>
  <c r="S11"/>
  <c r="M13"/>
  <c r="I11"/>
  <c r="I13"/>
  <c r="I14"/>
  <c r="I17"/>
  <c r="I20"/>
  <c r="B71" i="50"/>
  <c r="B116"/>
  <c r="C36"/>
  <c r="E13" i="36" l="1"/>
  <c r="D13"/>
  <c r="D9"/>
  <c r="E9" s="1"/>
  <c r="E15"/>
  <c r="D15"/>
  <c r="D14"/>
  <c r="D11"/>
  <c r="D10"/>
  <c r="D12"/>
  <c r="E12" s="1"/>
  <c r="M8" i="34"/>
  <c r="N8" s="1"/>
  <c r="L8"/>
  <c r="V11"/>
  <c r="W11" s="1"/>
  <c r="V17"/>
  <c r="W17" s="1"/>
  <c r="V12"/>
  <c r="W12" s="1"/>
  <c r="W8"/>
  <c r="N13"/>
  <c r="S20"/>
  <c r="W14"/>
  <c r="W16"/>
  <c r="W13"/>
  <c r="W20"/>
  <c r="U22"/>
  <c r="Q22"/>
  <c r="S16"/>
  <c r="M20"/>
  <c r="L13"/>
  <c r="M16"/>
  <c r="E14" i="36"/>
  <c r="E11"/>
  <c r="T8" i="34" l="1"/>
  <c r="S22"/>
  <c r="T16"/>
  <c r="X16"/>
  <c r="Y16" s="1"/>
  <c r="T12"/>
  <c r="X11"/>
  <c r="Y11" s="1"/>
  <c r="X12"/>
  <c r="Y12" s="1"/>
  <c r="T20"/>
  <c r="T14"/>
  <c r="T11"/>
  <c r="T13"/>
  <c r="X13"/>
  <c r="Y13" s="1"/>
  <c r="X17"/>
  <c r="Y17" s="1"/>
  <c r="T17"/>
  <c r="X20"/>
  <c r="Y20" s="1"/>
  <c r="X14"/>
  <c r="Y14" s="1"/>
  <c r="X8"/>
  <c r="Y8" s="1"/>
  <c r="V22"/>
  <c r="W22"/>
  <c r="E10" i="36"/>
  <c r="E16" s="1"/>
  <c r="N20" i="34"/>
  <c r="L20"/>
  <c r="N16"/>
  <c r="L16"/>
  <c r="D16" i="36"/>
  <c r="J19" i="34" l="1"/>
  <c r="J21"/>
  <c r="J15"/>
  <c r="J18"/>
  <c r="T22"/>
  <c r="Y22"/>
  <c r="B12" i="45" s="1"/>
  <c r="X22" i="34"/>
  <c r="J14"/>
  <c r="J13"/>
  <c r="O8"/>
  <c r="P8" s="1"/>
  <c r="Z8" s="1"/>
  <c r="J8"/>
  <c r="J16"/>
  <c r="J17"/>
  <c r="O13"/>
  <c r="P13" s="1"/>
  <c r="Z13" s="1"/>
  <c r="J11"/>
  <c r="J20"/>
  <c r="O20"/>
  <c r="P20" s="1"/>
  <c r="Z20" s="1"/>
  <c r="O16"/>
  <c r="P16" s="1"/>
  <c r="Z16" s="1"/>
  <c r="M17"/>
  <c r="M14"/>
  <c r="M11"/>
  <c r="B22"/>
  <c r="L17" l="1"/>
  <c r="N17"/>
  <c r="O17" s="1"/>
  <c r="P17" s="1"/>
  <c r="Z17" s="1"/>
  <c r="L14"/>
  <c r="N14"/>
  <c r="O14" s="1"/>
  <c r="P14" s="1"/>
  <c r="Z14" s="1"/>
  <c r="L11"/>
  <c r="E22"/>
  <c r="D22"/>
  <c r="C10" i="45"/>
  <c r="N11" i="34" l="1"/>
  <c r="I12"/>
  <c r="J12" s="1"/>
  <c r="M12"/>
  <c r="M22" s="1"/>
  <c r="D10" i="37"/>
  <c r="O11" i="34" l="1"/>
  <c r="P11" s="1"/>
  <c r="Z11" s="1"/>
  <c r="D31" i="37"/>
  <c r="E31"/>
  <c r="E29"/>
  <c r="E23"/>
  <c r="F19"/>
  <c r="E18"/>
  <c r="E30"/>
  <c r="E21"/>
  <c r="E22"/>
  <c r="E14"/>
  <c r="F27"/>
  <c r="D23"/>
  <c r="E19"/>
  <c r="E26"/>
  <c r="E13"/>
  <c r="E27"/>
  <c r="J22" i="34"/>
  <c r="I22"/>
  <c r="K22"/>
  <c r="L12"/>
  <c r="L22" s="1"/>
  <c r="F23" i="37" l="1"/>
  <c r="F31"/>
  <c r="C12" i="45" s="1"/>
  <c r="N12" i="34"/>
  <c r="O12" l="1"/>
  <c r="P12" s="1"/>
  <c r="N22"/>
  <c r="F32" i="37"/>
  <c r="C11" i="45"/>
  <c r="O22" i="34" l="1"/>
  <c r="P22"/>
  <c r="Z12"/>
  <c r="Z22" l="1"/>
  <c r="B11" i="45"/>
  <c r="B13" l="1"/>
  <c r="C13" l="1"/>
</calcChain>
</file>

<file path=xl/sharedStrings.xml><?xml version="1.0" encoding="utf-8"?>
<sst xmlns="http://schemas.openxmlformats.org/spreadsheetml/2006/main" count="222" uniqueCount="176">
  <si>
    <t>Units</t>
  </si>
  <si>
    <t>Current practice</t>
  </si>
  <si>
    <t>Future practice</t>
  </si>
  <si>
    <t>Scotland</t>
  </si>
  <si>
    <t>Unit cost 
£</t>
  </si>
  <si>
    <t>Total cost 
£</t>
  </si>
  <si>
    <t>Select NHS Board</t>
  </si>
  <si>
    <t>NHS Ayrshire and Arran</t>
  </si>
  <si>
    <t>NHS Borders</t>
  </si>
  <si>
    <t>NHS Dumfries and Galloway</t>
  </si>
  <si>
    <t>NHS Fife</t>
  </si>
  <si>
    <t>NHS Forth Valley</t>
  </si>
  <si>
    <t>NHS Grampian</t>
  </si>
  <si>
    <t>NHS Greater Glasgow and Clyde</t>
  </si>
  <si>
    <t>NHS Highland</t>
  </si>
  <si>
    <t>NHS Lanarkshire</t>
  </si>
  <si>
    <t>NHS Lothian</t>
  </si>
  <si>
    <t>NHS Orkney</t>
  </si>
  <si>
    <t>NHS Shetland</t>
  </si>
  <si>
    <t>NHS Tayside</t>
  </si>
  <si>
    <t>NHS Western Isles</t>
  </si>
  <si>
    <t>Costs to implement recommendations</t>
  </si>
  <si>
    <t>Total cost to implement recommendations</t>
  </si>
  <si>
    <t>Net costs to implement recommendations in:</t>
  </si>
  <si>
    <t>Patients with SCC</t>
  </si>
  <si>
    <t xml:space="preserve">Number of patients presenting with SCC </t>
  </si>
  <si>
    <t>Eligible population</t>
  </si>
  <si>
    <t>Co-ordinator</t>
  </si>
  <si>
    <t>Dermatologist</t>
  </si>
  <si>
    <t>Pathologist</t>
  </si>
  <si>
    <t>Surgeon</t>
  </si>
  <si>
    <t>Clinical nurse specialist</t>
  </si>
  <si>
    <t>Oncologist</t>
  </si>
  <si>
    <t>Referring clinical or deputy</t>
  </si>
  <si>
    <t>Point 1 14,294</t>
  </si>
  <si>
    <t>Point 2 14,653</t>
  </si>
  <si>
    <t>Point 3 15,013</t>
  </si>
  <si>
    <t>Band 2</t>
  </si>
  <si>
    <t>Point 4 15,432</t>
  </si>
  <si>
    <t>Point 5 15,851</t>
  </si>
  <si>
    <t>Point 6 16,271</t>
  </si>
  <si>
    <t>Point 7 16,811</t>
  </si>
  <si>
    <t>Point 8 17,425</t>
  </si>
  <si>
    <t>Band 3</t>
  </si>
  <si>
    <t>Point 9 17,794</t>
  </si>
  <si>
    <t>Point 10 18,285</t>
  </si>
  <si>
    <t>Point 11 18,838</t>
  </si>
  <si>
    <t>Point 12 19,268</t>
  </si>
  <si>
    <t>Band 4</t>
  </si>
  <si>
    <t>Point 13 19,947</t>
  </si>
  <si>
    <t>Point 14 20,638</t>
  </si>
  <si>
    <t>Point 15 21,265</t>
  </si>
  <si>
    <t>Point 16 21,478</t>
  </si>
  <si>
    <t>Point 17 22,016</t>
  </si>
  <si>
    <t>Band 5</t>
  </si>
  <si>
    <t>Point 18 22,903</t>
  </si>
  <si>
    <t>Point 19 23,825</t>
  </si>
  <si>
    <t>Point 20 24,799</t>
  </si>
  <si>
    <t>Point 21 25,783</t>
  </si>
  <si>
    <t>Point 22 26,822</t>
  </si>
  <si>
    <t>Point 23 27,901</t>
  </si>
  <si>
    <t>Band 6</t>
  </si>
  <si>
    <t>Point 24 28,755</t>
  </si>
  <si>
    <t>Point 25 29,759</t>
  </si>
  <si>
    <t>Point 26 30,764</t>
  </si>
  <si>
    <t>Point 27 31,768</t>
  </si>
  <si>
    <t>Point 28 32,898</t>
  </si>
  <si>
    <t>Point 29 34,530</t>
  </si>
  <si>
    <t>Band 7</t>
  </si>
  <si>
    <t>Point 30 35,536</t>
  </si>
  <si>
    <t>Point 31 36,666</t>
  </si>
  <si>
    <t>Point 32 37,921</t>
  </si>
  <si>
    <t>Point 33 39,239</t>
  </si>
  <si>
    <t>Point 34 40,558</t>
  </si>
  <si>
    <t>Band 8a</t>
  </si>
  <si>
    <t>Point 35 42,190</t>
  </si>
  <si>
    <t>Point 36 43,822</t>
  </si>
  <si>
    <t>Point 37 45,707</t>
  </si>
  <si>
    <t>Point 38 47,088</t>
  </si>
  <si>
    <t>Band 8b</t>
  </si>
  <si>
    <t>Point 39 49,473</t>
  </si>
  <si>
    <t>Point 40 52,235</t>
  </si>
  <si>
    <t>Point 41 54,998</t>
  </si>
  <si>
    <t>Point 42 56,504</t>
  </si>
  <si>
    <t>Band 8c</t>
  </si>
  <si>
    <t>Point 43 59,016</t>
  </si>
  <si>
    <t>Point 44 61,779</t>
  </si>
  <si>
    <t>Point 45 65,922</t>
  </si>
  <si>
    <t>Point 46 67,805</t>
  </si>
  <si>
    <t>Band 8d</t>
  </si>
  <si>
    <t>Point 47 70,631</t>
  </si>
  <si>
    <t>Point 48 74,084</t>
  </si>
  <si>
    <t>Point 49 77,850</t>
  </si>
  <si>
    <t>Point 50 81,618</t>
  </si>
  <si>
    <t>Band 9</t>
  </si>
  <si>
    <t>Point 51 85,535</t>
  </si>
  <si>
    <t>Point 52 89,640</t>
  </si>
  <si>
    <t>Point 53 93,944</t>
  </si>
  <si>
    <t>Point 54 98,453</t>
  </si>
  <si>
    <t>Pay rates from 1 April 2014</t>
  </si>
  <si>
    <t>The following is a guide only to Agenda for Change pay rates. However, you should always check with the employer to confirm the pay rate for any post for which you are applying.</t>
  </si>
  <si>
    <t>Total</t>
  </si>
  <si>
    <t>MDT team:</t>
  </si>
  <si>
    <t>plus 25% NI+super annuation</t>
  </si>
  <si>
    <t>Annual cost</t>
  </si>
  <si>
    <t>Annual number of meetings</t>
  </si>
  <si>
    <t>Length of MDT meeting (minutes)</t>
  </si>
  <si>
    <t>Time per patient (minutes)</t>
  </si>
  <si>
    <t>Total time discussing patients (minutes)</t>
  </si>
  <si>
    <t>Additional time to discuss patients  (minutes) per meeting</t>
  </si>
  <si>
    <t>Total time required to discuss patients</t>
  </si>
  <si>
    <t xml:space="preserve">Cost </t>
  </si>
  <si>
    <t>Cost per meeting</t>
  </si>
  <si>
    <t>Cost per hour</t>
  </si>
  <si>
    <t xml:space="preserve">Annual cost </t>
  </si>
  <si>
    <t>Additional patients to be discussed</t>
  </si>
  <si>
    <t>Additional annual cost</t>
  </si>
  <si>
    <t>Additional patients to be listed</t>
  </si>
  <si>
    <t xml:space="preserve">Number of patients discussed </t>
  </si>
  <si>
    <t>Staff cost</t>
  </si>
  <si>
    <t>Cost for selected population</t>
  </si>
  <si>
    <t>Total time spent discussing high risk patients</t>
  </si>
  <si>
    <t>Additional activity</t>
  </si>
  <si>
    <t>Number of patients to be discussed</t>
  </si>
  <si>
    <t>Additional time required to discuss patients (minutes) per meeting</t>
  </si>
  <si>
    <t>Number of patients with primary SCC listed</t>
  </si>
  <si>
    <t>Total time (minutes)</t>
  </si>
  <si>
    <t>Total time</t>
  </si>
  <si>
    <t>Number of patients to be listed</t>
  </si>
  <si>
    <t>Additional time required to list patients (minutes) per meeting</t>
  </si>
  <si>
    <t>All SCCs should be listed at a MDT for auditing purposes</t>
  </si>
  <si>
    <t>Recommendations</t>
  </si>
  <si>
    <t xml:space="preserve">Additional number of patients to be discussed per meeting* </t>
  </si>
  <si>
    <t>* based on current meeting frequency</t>
  </si>
  <si>
    <t>Costing template</t>
  </si>
  <si>
    <t>Background</t>
  </si>
  <si>
    <t>The purpose of the costing template</t>
  </si>
  <si>
    <t>Unit costs</t>
  </si>
  <si>
    <t>Population selection sheet</t>
  </si>
  <si>
    <t>Cost summary</t>
  </si>
  <si>
    <t>Lisa Wilson</t>
  </si>
  <si>
    <t>Lisa.wilson3@nhs.net</t>
  </si>
  <si>
    <r>
      <t xml:space="preserve">This costing template provides an estimate of the resources and associated costs required to implement the recommendations in section 4 of the guideline: </t>
    </r>
    <r>
      <rPr>
        <b/>
        <sz val="11"/>
        <rFont val="Arial"/>
        <family val="2"/>
      </rPr>
      <t xml:space="preserve">Referral to the multidisciplinary team.
</t>
    </r>
    <r>
      <rPr>
        <sz val="11"/>
        <rFont val="Arial"/>
        <family val="2"/>
      </rPr>
      <t xml:space="preserve">These recommendations are described in full in the 'Recommendations' worksheet within this costing template.
</t>
    </r>
  </si>
  <si>
    <t>The costing template is designed to be flexible and enable users to change the assumptions to reflect local epidemiology, resource use and costs.  This is indicated throughout this template by the use of shaded cells (this colour).  Values within these cells can be changed.</t>
  </si>
  <si>
    <t>Instructions (this worksheet)</t>
  </si>
  <si>
    <t>Cover page</t>
  </si>
  <si>
    <t>It is important to read these instructions before proceeding on to 'Select local population'.</t>
  </si>
  <si>
    <t>The costing template is made up of the following worksheets and clicking on each heading will take you directly to the worksheet:</t>
  </si>
  <si>
    <t>The recommendations included within the resource and cost impact assessment are described in this worksheet.</t>
  </si>
  <si>
    <t>The unit costs used are presented in this worksheet.
Shaded cells are provided to allow users to alter the values assumed to reflect local circumstances and will update the template automatically.
The values for unit costs can ONLY be changed in the 'Unit costs' worksheet to protect the formulae within the costing template.</t>
  </si>
  <si>
    <t>Summarises the results.  If you do not want to amend estimates then click the heading to go directly to this summary after the desired NHS board has been selected.
To view the summary of the costs for each recommendation for your NHS board, ensure that you have selected your NHS board on the 'Select local population' worksheet.</t>
  </si>
  <si>
    <t>Contact details</t>
  </si>
  <si>
    <t>For further assistance using the costing template or to provide any comments or feedback on the usefulness, which will help to improve for future use, please contact:</t>
  </si>
  <si>
    <t>SIGN 140 Management of primary cutaneous squamous cell carcinoma
Costing template</t>
  </si>
  <si>
    <t>Patients with primary SCC should be discussed at a skin cancer multidisciplinary team meeting</t>
  </si>
  <si>
    <t>Number of patients reported</t>
  </si>
  <si>
    <t>Additional time required to list patients (minutes)</t>
  </si>
  <si>
    <t xml:space="preserve">The Scottish Intercollegiate Guidelines Network guideline on the management of primary cutaneous squamous cell carcinoma provides recommendations for referral, management and follow up of patients ages 18 years and over with primary invasive SCC.  It addresses pathological, clinical and tumour features, or combination features, that best facilitate risk stratification in patients with primary invasive cutaneous SCC.  </t>
  </si>
  <si>
    <t>Select local population</t>
  </si>
  <si>
    <t>This is used to populate the 'Costing template' worksheet with the values for the NHS board selected.  
Shaded cells can be changed to more accurately reflect local circumstances and will update the costing template automatically.</t>
  </si>
  <si>
    <r>
      <t xml:space="preserve">The template provides estimates of the resources and associated costs required to implement the recommendations relating to </t>
    </r>
    <r>
      <rPr>
        <b/>
        <sz val="11"/>
        <color theme="1"/>
        <rFont val="Arial"/>
        <family val="2"/>
      </rPr>
      <t>Referral to the multidisciplinary team</t>
    </r>
    <r>
      <rPr>
        <i/>
        <sz val="11"/>
        <color theme="1"/>
        <rFont val="Arial"/>
        <family val="2"/>
      </rPr>
      <t>.</t>
    </r>
    <r>
      <rPr>
        <sz val="11"/>
        <color theme="1"/>
        <rFont val="Arial"/>
        <family val="2"/>
      </rPr>
      <t xml:space="preserve"> 
Current and planned activity levels have been estimated based on data provided by the guideline group clinical experts, but can be altered by changing the shaded values.  
The worksheet is divided into the following sections:
</t>
    </r>
    <r>
      <rPr>
        <b/>
        <sz val="11"/>
        <color theme="1"/>
        <rFont val="Arial"/>
        <family val="2"/>
      </rPr>
      <t xml:space="preserve">The left section
</t>
    </r>
    <r>
      <rPr>
        <sz val="11"/>
        <color theme="1"/>
        <rFont val="Arial"/>
        <family val="2"/>
      </rPr>
      <t xml:space="preserve">The left section relates to the recommendations in section 4 of the guideline </t>
    </r>
    <r>
      <rPr>
        <b/>
        <sz val="11"/>
        <color theme="1"/>
        <rFont val="Arial"/>
        <family val="2"/>
      </rPr>
      <t>Referral to the multidisciplinary team</t>
    </r>
    <r>
      <rPr>
        <i/>
        <sz val="11"/>
        <color theme="1"/>
        <rFont val="Arial"/>
        <family val="2"/>
      </rPr>
      <t>.</t>
    </r>
    <r>
      <rPr>
        <sz val="11"/>
        <color theme="1"/>
        <rFont val="Arial"/>
        <family val="2"/>
      </rPr>
      <t xml:space="preserve">  
</t>
    </r>
    <r>
      <rPr>
        <b/>
        <sz val="11"/>
        <color theme="1"/>
        <rFont val="Arial"/>
        <family val="2"/>
      </rPr>
      <t xml:space="preserve">The right section
</t>
    </r>
    <r>
      <rPr>
        <sz val="11"/>
        <color theme="1"/>
        <rFont val="Arial"/>
        <family val="2"/>
      </rPr>
      <t xml:space="preserve">The estimates for the NHS board selected on the 'Select local population' worksheet will be presented in this section.  
</t>
    </r>
    <r>
      <rPr>
        <b/>
        <sz val="11"/>
        <color theme="1"/>
        <rFont val="Arial"/>
        <family val="2"/>
      </rPr>
      <t xml:space="preserve">This worksheet is protected to prevent formulae being changed.  
There may be some variation in the cost estimates in the costing template due to rounding or the methods used to calculate these.  </t>
    </r>
  </si>
  <si>
    <t>Health Economist, Healthcare Improvement Scotland</t>
  </si>
  <si>
    <t>Select NHS board</t>
  </si>
  <si>
    <t>Patients with SCC and high-risk features</t>
  </si>
  <si>
    <r>
      <t xml:space="preserve">All SCC including low-risk SCC should be reported on a minimum dataset </t>
    </r>
    <r>
      <rPr>
        <b/>
        <i/>
        <sz val="8"/>
        <color theme="6" tint="-0.499984740745262"/>
        <rFont val="Arial"/>
        <family val="2"/>
      </rPr>
      <t>(see Annex 5 of guideline)</t>
    </r>
    <r>
      <rPr>
        <b/>
        <i/>
        <sz val="11"/>
        <color theme="6" tint="-0.499984740745262"/>
        <rFont val="Arial"/>
        <family val="2"/>
      </rPr>
      <t xml:space="preserve"> which allows all high-risk SCCs to be fast tracked to the MDT</t>
    </r>
  </si>
  <si>
    <t>Additional number of patients to be listed per meeting (based on current meeting frequency)</t>
  </si>
  <si>
    <t>Grade</t>
  </si>
  <si>
    <t>consultant</t>
  </si>
  <si>
    <t>AfC 4</t>
  </si>
  <si>
    <t>AfC 7</t>
  </si>
  <si>
    <t>Number of patients with SCC with high-risk features</t>
  </si>
  <si>
    <t>Recommendation: Patients with primary SCC with high-risk features should be discussed at a skin cancer multidisciplinary team meeting.</t>
  </si>
  <si>
    <r>
      <t xml:space="preserve">Number of patients with primary SCC and </t>
    </r>
    <r>
      <rPr>
        <i/>
        <sz val="11"/>
        <rFont val="Arial"/>
        <family val="2"/>
      </rPr>
      <t>high-</t>
    </r>
    <r>
      <rPr>
        <sz val="11"/>
        <rFont val="Arial"/>
        <family val="2"/>
      </rPr>
      <t>risk features discussed at a skin MDT meeting</t>
    </r>
  </si>
  <si>
    <t>Costing template for SIGN 'Management of primary cutaneous squamous cell carcinoma' national clinical guideline</t>
  </si>
  <si>
    <t>Recommendation: All squamous cell carcinomas including low-risk SCC should be reported on a minimum dataset which allows all high-risk SCCs to be fast tracked to the MDT.</t>
  </si>
  <si>
    <t>Patients with hig- risk features should be discussed at a MDT</t>
  </si>
</sst>
</file>

<file path=xl/styles.xml><?xml version="1.0" encoding="utf-8"?>
<styleSheet xmlns="http://schemas.openxmlformats.org/spreadsheetml/2006/main">
  <numFmts count="9">
    <numFmt numFmtId="5" formatCode="&quot;£&quot;#,##0;\-&quot;£&quot;#,##0"/>
    <numFmt numFmtId="6" formatCode="&quot;£&quot;#,##0;[Red]\-&quot;£&quot;#,##0"/>
    <numFmt numFmtId="43" formatCode="_-* #,##0.00_-;\-* #,##0.00_-;_-* &quot;-&quot;??_-;_-@_-"/>
    <numFmt numFmtId="164" formatCode="&quot;£&quot;#,##0.00"/>
    <numFmt numFmtId="165" formatCode="&quot;£&quot;#,##0"/>
    <numFmt numFmtId="166" formatCode="_-* #,##0_-;\-* #,##0_-;_-* &quot;-&quot;??_-;_-@_-"/>
    <numFmt numFmtId="167" formatCode="0.000%"/>
    <numFmt numFmtId="168" formatCode="0.0%"/>
    <numFmt numFmtId="169" formatCode="#,##0_ ;\-#,##0\ "/>
  </numFmts>
  <fonts count="42">
    <font>
      <sz val="11"/>
      <color theme="1"/>
      <name val="Calibri"/>
      <family val="2"/>
      <scheme val="minor"/>
    </font>
    <font>
      <sz val="10"/>
      <name val="Arial"/>
      <family val="2"/>
    </font>
    <font>
      <u/>
      <sz val="10"/>
      <color indexed="12"/>
      <name val="Arial"/>
      <family val="2"/>
    </font>
    <font>
      <b/>
      <sz val="12"/>
      <name val="Arial"/>
      <family val="2"/>
    </font>
    <font>
      <sz val="12"/>
      <name val="Arial"/>
      <family val="2"/>
    </font>
    <font>
      <sz val="11"/>
      <name val="Arial"/>
      <family val="2"/>
    </font>
    <font>
      <b/>
      <sz val="11"/>
      <name val="Arial"/>
      <family val="2"/>
    </font>
    <font>
      <sz val="10"/>
      <name val="Arial"/>
      <family val="2"/>
    </font>
    <font>
      <i/>
      <sz val="11"/>
      <name val="Arial"/>
      <family val="2"/>
    </font>
    <font>
      <sz val="10"/>
      <name val="Arial"/>
      <family val="2"/>
    </font>
    <font>
      <sz val="11"/>
      <color theme="1"/>
      <name val="Calibri"/>
      <family val="2"/>
      <scheme val="minor"/>
    </font>
    <font>
      <u/>
      <sz val="11"/>
      <color theme="10"/>
      <name val="Calibri"/>
      <family val="2"/>
    </font>
    <font>
      <sz val="11"/>
      <color theme="1"/>
      <name val="Arial"/>
      <family val="2"/>
    </font>
    <font>
      <i/>
      <u/>
      <sz val="11"/>
      <color theme="10"/>
      <name val="Arial"/>
      <family val="2"/>
    </font>
    <font>
      <b/>
      <sz val="11"/>
      <color theme="1"/>
      <name val="Arial"/>
      <family val="2"/>
    </font>
    <font>
      <b/>
      <u/>
      <sz val="11"/>
      <color theme="1"/>
      <name val="Arial"/>
      <family val="2"/>
    </font>
    <font>
      <i/>
      <sz val="11"/>
      <color theme="1"/>
      <name val="Arial"/>
      <family val="2"/>
    </font>
    <font>
      <u/>
      <sz val="11"/>
      <color theme="1"/>
      <name val="Arial"/>
      <family val="2"/>
    </font>
    <font>
      <u/>
      <sz val="11"/>
      <color theme="10"/>
      <name val="Arial"/>
      <family val="2"/>
    </font>
    <font>
      <b/>
      <sz val="14"/>
      <color theme="1"/>
      <name val="Arial"/>
      <family val="2"/>
    </font>
    <font>
      <sz val="12"/>
      <color theme="1"/>
      <name val="Arial"/>
      <family val="2"/>
    </font>
    <font>
      <b/>
      <sz val="12"/>
      <color theme="1"/>
      <name val="Arial"/>
      <family val="2"/>
    </font>
    <font>
      <sz val="11"/>
      <color theme="10"/>
      <name val="Arial"/>
      <family val="2"/>
    </font>
    <font>
      <sz val="12"/>
      <name val="Calibri"/>
      <family val="2"/>
      <scheme val="minor"/>
    </font>
    <font>
      <i/>
      <u/>
      <sz val="11"/>
      <name val="Arial"/>
      <family val="2"/>
    </font>
    <font>
      <b/>
      <sz val="12"/>
      <name val="Calibri"/>
      <family val="2"/>
      <scheme val="minor"/>
    </font>
    <font>
      <sz val="10"/>
      <name val="Arial"/>
      <family val="2"/>
    </font>
    <font>
      <sz val="11"/>
      <name val="Calibri"/>
      <family val="2"/>
    </font>
    <font>
      <sz val="11"/>
      <color rgb="FF000000"/>
      <name val="Arial"/>
      <family val="2"/>
    </font>
    <font>
      <b/>
      <sz val="11"/>
      <color theme="0"/>
      <name val="Arial"/>
      <family val="2"/>
    </font>
    <font>
      <b/>
      <sz val="18"/>
      <color theme="1"/>
      <name val="Arial"/>
      <family val="2"/>
    </font>
    <font>
      <b/>
      <sz val="13.5"/>
      <color theme="1"/>
      <name val="Arial"/>
      <family val="2"/>
    </font>
    <font>
      <b/>
      <sz val="11"/>
      <color rgb="FFFF0000"/>
      <name val="Arial"/>
      <family val="2"/>
    </font>
    <font>
      <b/>
      <sz val="11"/>
      <color theme="6" tint="-0.499984740745262"/>
      <name val="Arial"/>
      <family val="2"/>
    </font>
    <font>
      <sz val="11"/>
      <color theme="6" tint="-0.499984740745262"/>
      <name val="Arial"/>
      <family val="2"/>
    </font>
    <font>
      <u/>
      <sz val="11"/>
      <color rgb="FF002060"/>
      <name val="Calibri"/>
      <family val="2"/>
    </font>
    <font>
      <vertAlign val="superscript"/>
      <sz val="10"/>
      <color theme="1"/>
      <name val="Arial"/>
      <family val="2"/>
    </font>
    <font>
      <sz val="10"/>
      <color theme="1"/>
      <name val="Arial"/>
      <family val="2"/>
    </font>
    <font>
      <b/>
      <sz val="12"/>
      <color theme="0"/>
      <name val="Arial"/>
      <family val="2"/>
    </font>
    <font>
      <b/>
      <sz val="14"/>
      <color theme="0"/>
      <name val="Arial"/>
      <family val="2"/>
    </font>
    <font>
      <b/>
      <i/>
      <sz val="11"/>
      <color theme="6" tint="-0.499984740745262"/>
      <name val="Arial"/>
      <family val="2"/>
    </font>
    <font>
      <b/>
      <i/>
      <sz val="8"/>
      <color theme="6" tint="-0.499984740745262"/>
      <name val="Arial"/>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79998168889431442"/>
        <bgColor indexed="64"/>
      </patternFill>
    </fill>
    <fill>
      <gradientFill degree="90">
        <stop position="0">
          <color theme="0"/>
        </stop>
        <stop position="1">
          <color theme="6" tint="0.59999389629810485"/>
        </stop>
      </gradientFill>
    </fill>
    <fill>
      <patternFill patternType="solid">
        <fgColor rgb="FF7030A0"/>
        <bgColor indexed="64"/>
      </patternFill>
    </fill>
    <fill>
      <patternFill patternType="solid">
        <fgColor theme="6" tint="0.79998168889431442"/>
        <bgColor indexed="64"/>
      </patternFill>
    </fill>
    <fill>
      <gradientFill degree="90">
        <stop position="0">
          <color theme="0"/>
        </stop>
        <stop position="1">
          <color theme="6" tint="0.80001220740379042"/>
        </stop>
      </gradientFill>
    </fill>
    <fill>
      <gradientFill degree="45">
        <stop position="0">
          <color theme="0"/>
        </stop>
        <stop position="1">
          <color theme="6" tint="0.80001220740379042"/>
        </stop>
      </gradientFill>
    </fill>
    <fill>
      <gradientFill degree="135">
        <stop position="0">
          <color theme="0"/>
        </stop>
        <stop position="1">
          <color theme="6" tint="0.80001220740379042"/>
        </stop>
      </gradientFill>
    </fill>
    <fill>
      <gradientFill type="path">
        <stop position="0">
          <color theme="0"/>
        </stop>
        <stop position="1">
          <color theme="6" tint="0.80001220740379042"/>
        </stop>
      </gradientFill>
    </fill>
    <fill>
      <gradientFill degree="135">
        <stop position="0">
          <color theme="0"/>
        </stop>
        <stop position="1">
          <color theme="6" tint="0.59999389629810485"/>
        </stop>
      </gradientFill>
    </fill>
  </fills>
  <borders count="5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medium">
        <color auto="1"/>
      </bottom>
      <diagonal/>
    </border>
    <border>
      <left style="medium">
        <color auto="1"/>
      </left>
      <right style="thin">
        <color auto="1"/>
      </right>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ck">
        <color auto="1"/>
      </right>
      <top style="thin">
        <color auto="1"/>
      </top>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right style="thick">
        <color auto="1"/>
      </right>
      <top/>
      <bottom style="thin">
        <color auto="1"/>
      </bottom>
      <diagonal/>
    </border>
    <border>
      <left style="thin">
        <color indexed="64"/>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ck">
        <color auto="1"/>
      </left>
      <right style="thin">
        <color indexed="64"/>
      </right>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auto="1"/>
      </bottom>
      <diagonal/>
    </border>
    <border>
      <left style="thin">
        <color auto="1"/>
      </left>
      <right style="thin">
        <color auto="1"/>
      </right>
      <top/>
      <bottom style="thin">
        <color auto="1"/>
      </bottom>
      <diagonal/>
    </border>
    <border>
      <left style="medium">
        <color indexed="64"/>
      </left>
      <right/>
      <top/>
      <bottom style="thin">
        <color indexed="64"/>
      </bottom>
      <diagonal/>
    </border>
  </borders>
  <cellStyleXfs count="16">
    <xf numFmtId="0" fontId="0" fillId="0" borderId="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 fillId="0" borderId="0"/>
    <xf numFmtId="0" fontId="1" fillId="0" borderId="0"/>
    <xf numFmtId="0" fontId="7" fillId="0" borderId="0"/>
    <xf numFmtId="0" fontId="1" fillId="0" borderId="0"/>
    <xf numFmtId="0" fontId="9" fillId="0" borderId="0"/>
    <xf numFmtId="9" fontId="1" fillId="0" borderId="0" applyFont="0" applyFill="0" applyBorder="0" applyAlignment="0" applyProtection="0"/>
    <xf numFmtId="9" fontId="1" fillId="0" borderId="0" applyFont="0" applyFill="0" applyBorder="0" applyAlignment="0" applyProtection="0"/>
    <xf numFmtId="0" fontId="26" fillId="0" borderId="0"/>
  </cellStyleXfs>
  <cellXfs count="302">
    <xf numFmtId="0" fontId="0" fillId="0" borderId="0" xfId="0"/>
    <xf numFmtId="0" fontId="0" fillId="2" borderId="0" xfId="0" applyFill="1"/>
    <xf numFmtId="0" fontId="12" fillId="2" borderId="0" xfId="0" applyFont="1" applyFill="1"/>
    <xf numFmtId="0" fontId="4" fillId="2" borderId="0" xfId="0" applyFont="1" applyFill="1"/>
    <xf numFmtId="0" fontId="3" fillId="0" borderId="0" xfId="0" applyFont="1" applyAlignment="1">
      <alignment vertical="center" wrapText="1"/>
    </xf>
    <xf numFmtId="0" fontId="5" fillId="0" borderId="0" xfId="0" applyFont="1" applyAlignment="1">
      <alignment vertical="center" wrapText="1"/>
    </xf>
    <xf numFmtId="0" fontId="6" fillId="0" borderId="0" xfId="0" applyFont="1" applyFill="1" applyBorder="1" applyAlignment="1">
      <alignment vertical="center" wrapText="1"/>
    </xf>
    <xf numFmtId="3" fontId="5" fillId="0" borderId="0" xfId="0" applyNumberFormat="1" applyFont="1" applyBorder="1" applyAlignment="1">
      <alignment horizontal="center" vertical="center" wrapText="1"/>
    </xf>
    <xf numFmtId="0" fontId="12" fillId="2" borderId="0" xfId="0" applyFont="1" applyFill="1" applyBorder="1"/>
    <xf numFmtId="0" fontId="3" fillId="2" borderId="0" xfId="0" applyFont="1" applyFill="1" applyAlignment="1">
      <alignment wrapText="1"/>
    </xf>
    <xf numFmtId="0" fontId="6" fillId="2" borderId="0" xfId="0" applyFont="1" applyFill="1" applyBorder="1" applyAlignment="1">
      <alignment vertical="center" wrapText="1"/>
    </xf>
    <xf numFmtId="0" fontId="4" fillId="2" borderId="0" xfId="0" applyFont="1" applyFill="1" applyAlignment="1">
      <alignment vertical="center" wrapText="1"/>
    </xf>
    <xf numFmtId="165" fontId="4" fillId="2" borderId="0" xfId="0" applyNumberFormat="1" applyFont="1" applyFill="1" applyAlignment="1">
      <alignment horizontal="center" vertical="center" wrapText="1"/>
    </xf>
    <xf numFmtId="0" fontId="3" fillId="2" borderId="0" xfId="0" applyFont="1" applyFill="1" applyAlignment="1">
      <alignment horizontal="center"/>
    </xf>
    <xf numFmtId="0" fontId="23" fillId="2" borderId="0" xfId="0" applyFont="1" applyFill="1" applyProtection="1"/>
    <xf numFmtId="0" fontId="24" fillId="2" borderId="0" xfId="4" applyFont="1" applyFill="1" applyAlignment="1" applyProtection="1">
      <alignment vertical="center" wrapText="1"/>
    </xf>
    <xf numFmtId="3" fontId="23" fillId="2" borderId="0" xfId="0" applyNumberFormat="1" applyFont="1" applyFill="1" applyAlignment="1">
      <alignment horizontal="center" vertical="center" wrapText="1"/>
    </xf>
    <xf numFmtId="165" fontId="23" fillId="2" borderId="0" xfId="0" applyNumberFormat="1" applyFont="1" applyFill="1" applyAlignment="1">
      <alignment horizontal="center" vertical="center" wrapText="1"/>
    </xf>
    <xf numFmtId="0" fontId="23" fillId="2" borderId="0" xfId="0" applyFont="1" applyFill="1"/>
    <xf numFmtId="0" fontId="23" fillId="0" borderId="0" xfId="0" applyFont="1" applyAlignment="1">
      <alignment vertical="center" wrapText="1"/>
    </xf>
    <xf numFmtId="3" fontId="23" fillId="0" borderId="0" xfId="0" applyNumberFormat="1" applyFont="1" applyAlignment="1">
      <alignment horizontal="center" vertical="center" wrapText="1"/>
    </xf>
    <xf numFmtId="165" fontId="23" fillId="0" borderId="0" xfId="0" applyNumberFormat="1" applyFont="1" applyAlignment="1">
      <alignment horizontal="center" vertical="center" wrapText="1"/>
    </xf>
    <xf numFmtId="165" fontId="25" fillId="2" borderId="0" xfId="0" applyNumberFormat="1" applyFont="1" applyFill="1"/>
    <xf numFmtId="0" fontId="23" fillId="2" borderId="0" xfId="0" applyFont="1" applyFill="1" applyAlignment="1">
      <alignment vertical="center" wrapText="1"/>
    </xf>
    <xf numFmtId="0" fontId="20" fillId="2" borderId="0" xfId="0" applyFont="1" applyFill="1" applyBorder="1" applyAlignment="1">
      <alignment horizontal="center" vertical="center" wrapText="1"/>
    </xf>
    <xf numFmtId="0" fontId="21" fillId="2" borderId="0" xfId="0" applyFont="1" applyFill="1" applyBorder="1" applyAlignment="1">
      <alignment vertical="center" wrapText="1"/>
    </xf>
    <xf numFmtId="165" fontId="12" fillId="2" borderId="10" xfId="0" applyNumberFormat="1" applyFont="1" applyFill="1" applyBorder="1" applyAlignment="1">
      <alignment horizontal="center" vertical="center"/>
    </xf>
    <xf numFmtId="3" fontId="5" fillId="2" borderId="20" xfId="12" applyNumberFormat="1" applyFont="1" applyFill="1" applyBorder="1" applyAlignment="1">
      <alignment horizontal="left" vertical="center" wrapText="1"/>
    </xf>
    <xf numFmtId="3" fontId="5" fillId="2" borderId="16" xfId="12" applyNumberFormat="1" applyFont="1" applyFill="1" applyBorder="1" applyAlignment="1">
      <alignment horizontal="left" vertical="center" wrapText="1"/>
    </xf>
    <xf numFmtId="0" fontId="14" fillId="2" borderId="17" xfId="0" applyFont="1" applyFill="1" applyBorder="1" applyAlignment="1">
      <alignment vertical="center" wrapText="1"/>
    </xf>
    <xf numFmtId="165" fontId="12" fillId="2" borderId="15" xfId="0" applyNumberFormat="1" applyFont="1" applyFill="1" applyBorder="1" applyAlignment="1">
      <alignment horizontal="center" vertical="center"/>
    </xf>
    <xf numFmtId="165" fontId="14" fillId="2" borderId="19" xfId="0" applyNumberFormat="1" applyFont="1" applyFill="1" applyBorder="1" applyAlignment="1">
      <alignment horizontal="center"/>
    </xf>
    <xf numFmtId="3" fontId="4" fillId="2" borderId="0" xfId="1" applyNumberFormat="1" applyFont="1" applyFill="1" applyAlignment="1">
      <alignment horizontal="center" vertical="center" wrapText="1"/>
    </xf>
    <xf numFmtId="165" fontId="12" fillId="2" borderId="1" xfId="0" applyNumberFormat="1" applyFont="1" applyFill="1" applyBorder="1" applyAlignment="1">
      <alignment horizontal="center"/>
    </xf>
    <xf numFmtId="165" fontId="12" fillId="2" borderId="5" xfId="0" applyNumberFormat="1" applyFont="1" applyFill="1" applyBorder="1" applyAlignment="1">
      <alignment horizontal="center"/>
    </xf>
    <xf numFmtId="165" fontId="14" fillId="2" borderId="18" xfId="0" applyNumberFormat="1" applyFont="1" applyFill="1" applyBorder="1" applyAlignment="1">
      <alignment horizontal="center"/>
    </xf>
    <xf numFmtId="0" fontId="23" fillId="2" borderId="0" xfId="0" applyFont="1" applyFill="1" applyBorder="1" applyAlignment="1">
      <alignment vertical="center" wrapText="1"/>
    </xf>
    <xf numFmtId="2" fontId="23" fillId="2" borderId="0" xfId="0" applyNumberFormat="1" applyFont="1" applyFill="1" applyAlignment="1">
      <alignment horizontal="center" vertical="center" wrapText="1"/>
    </xf>
    <xf numFmtId="2" fontId="23" fillId="0" borderId="0" xfId="0" applyNumberFormat="1" applyFont="1" applyAlignment="1">
      <alignment horizontal="center" vertical="center" wrapText="1"/>
    </xf>
    <xf numFmtId="2" fontId="5" fillId="0" borderId="0" xfId="0" applyNumberFormat="1" applyFont="1" applyBorder="1" applyAlignment="1">
      <alignment horizontal="center" vertical="center" wrapText="1"/>
    </xf>
    <xf numFmtId="2" fontId="4" fillId="2" borderId="0" xfId="0" applyNumberFormat="1" applyFont="1" applyFill="1" applyAlignment="1">
      <alignment horizontal="center" vertical="center" wrapText="1"/>
    </xf>
    <xf numFmtId="0" fontId="22" fillId="2" borderId="0" xfId="4" applyFont="1" applyFill="1" applyBorder="1" applyAlignment="1" applyProtection="1">
      <alignment horizontal="center" vertical="center" wrapText="1"/>
    </xf>
    <xf numFmtId="6" fontId="28" fillId="3" borderId="0" xfId="0" applyNumberFormat="1" applyFont="1" applyFill="1" applyBorder="1" applyAlignment="1">
      <alignment horizontal="center"/>
    </xf>
    <xf numFmtId="0" fontId="5" fillId="0" borderId="0" xfId="0" applyFont="1" applyBorder="1" applyAlignment="1">
      <alignment horizontal="center" vertical="center" wrapText="1"/>
    </xf>
    <xf numFmtId="0" fontId="13" fillId="2" borderId="0" xfId="4" applyFont="1" applyFill="1" applyBorder="1" applyAlignment="1" applyProtection="1"/>
    <xf numFmtId="0" fontId="18" fillId="2" borderId="0" xfId="4" applyFont="1" applyFill="1" applyBorder="1" applyAlignment="1" applyProtection="1">
      <alignment horizontal="center" vertical="center" wrapText="1"/>
    </xf>
    <xf numFmtId="0" fontId="11" fillId="2" borderId="0" xfId="4" applyFill="1" applyBorder="1" applyAlignment="1" applyProtection="1">
      <alignment horizontal="center" vertical="center" wrapText="1"/>
    </xf>
    <xf numFmtId="0" fontId="11" fillId="2" borderId="0" xfId="4" applyFill="1" applyBorder="1" applyAlignment="1" applyProtection="1">
      <alignment horizontal="center" vertical="center"/>
    </xf>
    <xf numFmtId="0" fontId="18" fillId="2" borderId="0"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27" fillId="2" borderId="0" xfId="4" applyFont="1" applyFill="1" applyBorder="1" applyAlignment="1" applyProtection="1">
      <alignment horizontal="center" vertical="center"/>
    </xf>
    <xf numFmtId="0" fontId="5" fillId="2" borderId="0" xfId="4" applyFont="1" applyFill="1" applyBorder="1" applyAlignment="1" applyProtection="1">
      <alignment horizontal="center" vertical="center" wrapText="1"/>
    </xf>
    <xf numFmtId="0" fontId="6" fillId="2" borderId="0" xfId="0" applyFont="1" applyFill="1" applyBorder="1" applyAlignment="1">
      <alignment horizontal="left" vertical="center" wrapText="1"/>
    </xf>
    <xf numFmtId="0" fontId="30" fillId="2" borderId="0" xfId="0" applyFont="1" applyFill="1"/>
    <xf numFmtId="0" fontId="31" fillId="2" borderId="0" xfId="0" applyFont="1" applyFill="1"/>
    <xf numFmtId="0" fontId="0" fillId="2" borderId="0" xfId="0" applyFill="1" applyBorder="1"/>
    <xf numFmtId="0" fontId="12" fillId="2" borderId="0" xfId="0" applyFont="1" applyFill="1" applyAlignment="1">
      <alignment horizontal="center"/>
    </xf>
    <xf numFmtId="165" fontId="12" fillId="2" borderId="0" xfId="0" applyNumberFormat="1" applyFont="1" applyFill="1"/>
    <xf numFmtId="0" fontId="6" fillId="2" borderId="11" xfId="4" applyFont="1" applyFill="1" applyBorder="1" applyAlignment="1" applyProtection="1"/>
    <xf numFmtId="0" fontId="5" fillId="2" borderId="32" xfId="0" applyFont="1" applyFill="1" applyBorder="1" applyAlignment="1">
      <alignment horizontal="left" vertical="center" wrapText="1"/>
    </xf>
    <xf numFmtId="0" fontId="6" fillId="2" borderId="33" xfId="0" applyFont="1" applyFill="1" applyBorder="1" applyAlignment="1">
      <alignment horizontal="left" vertical="center" wrapText="1"/>
    </xf>
    <xf numFmtId="165" fontId="5" fillId="0" borderId="33" xfId="0" applyNumberFormat="1" applyFont="1" applyBorder="1" applyAlignment="1">
      <alignment horizontal="center" vertical="center" wrapText="1"/>
    </xf>
    <xf numFmtId="0" fontId="5" fillId="2" borderId="34" xfId="0" applyFont="1" applyFill="1" applyBorder="1" applyAlignment="1">
      <alignment horizontal="left" vertical="center" wrapText="1"/>
    </xf>
    <xf numFmtId="165"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0" borderId="32" xfId="0" applyFont="1" applyBorder="1" applyAlignment="1">
      <alignment vertical="center" wrapText="1"/>
    </xf>
    <xf numFmtId="165" fontId="6" fillId="0" borderId="33" xfId="1" applyNumberFormat="1" applyFont="1" applyBorder="1" applyAlignment="1">
      <alignment horizontal="center" vertical="center" wrapText="1"/>
    </xf>
    <xf numFmtId="0" fontId="5" fillId="0" borderId="32" xfId="0" applyFont="1" applyBorder="1" applyAlignment="1">
      <alignment horizontal="left" vertical="center" wrapText="1"/>
    </xf>
    <xf numFmtId="0" fontId="5" fillId="0" borderId="33" xfId="0" applyFont="1" applyBorder="1" applyAlignment="1">
      <alignment horizontal="center" vertical="center" wrapText="1"/>
    </xf>
    <xf numFmtId="0" fontId="5" fillId="0" borderId="33" xfId="0" applyFont="1" applyBorder="1" applyAlignment="1">
      <alignment vertical="center" wrapText="1"/>
    </xf>
    <xf numFmtId="0" fontId="6" fillId="0" borderId="33" xfId="0" applyFont="1" applyBorder="1" applyAlignment="1">
      <alignment vertical="center" wrapText="1"/>
    </xf>
    <xf numFmtId="165" fontId="6" fillId="2" borderId="35" xfId="0" applyNumberFormat="1" applyFont="1" applyFill="1" applyBorder="1" applyAlignment="1">
      <alignment horizontal="center" vertical="center" wrapText="1"/>
    </xf>
    <xf numFmtId="0" fontId="35" fillId="2" borderId="0" xfId="4" applyFont="1" applyFill="1" applyAlignment="1" applyProtection="1"/>
    <xf numFmtId="169" fontId="12" fillId="5" borderId="6" xfId="1" applyNumberFormat="1" applyFont="1" applyFill="1" applyBorder="1" applyAlignment="1" applyProtection="1">
      <alignment horizontal="center" vertical="center"/>
      <protection locked="0"/>
    </xf>
    <xf numFmtId="9" fontId="12" fillId="5" borderId="6" xfId="1" applyNumberFormat="1" applyFont="1" applyFill="1" applyBorder="1" applyAlignment="1" applyProtection="1">
      <alignment horizontal="center" vertical="center"/>
      <protection locked="0"/>
    </xf>
    <xf numFmtId="3" fontId="12" fillId="5" borderId="10" xfId="1" applyNumberFormat="1" applyFont="1" applyFill="1" applyBorder="1" applyAlignment="1" applyProtection="1">
      <alignment horizontal="center" vertical="center"/>
      <protection locked="0"/>
    </xf>
    <xf numFmtId="169" fontId="12" fillId="5" borderId="25" xfId="1" applyNumberFormat="1" applyFont="1" applyFill="1" applyBorder="1" applyAlignment="1" applyProtection="1">
      <alignment horizontal="center" vertical="center"/>
      <protection locked="0"/>
    </xf>
    <xf numFmtId="3" fontId="12" fillId="5" borderId="6" xfId="1" applyNumberFormat="1" applyFont="1" applyFill="1" applyBorder="1" applyAlignment="1" applyProtection="1">
      <alignment horizontal="center" vertical="center"/>
      <protection locked="0"/>
    </xf>
    <xf numFmtId="3" fontId="12" fillId="5" borderId="25" xfId="1" applyNumberFormat="1" applyFont="1" applyFill="1" applyBorder="1" applyAlignment="1" applyProtection="1">
      <alignment horizontal="center" vertical="center"/>
      <protection locked="0"/>
    </xf>
    <xf numFmtId="169" fontId="12" fillId="5" borderId="10" xfId="1" applyNumberFormat="1" applyFont="1" applyFill="1" applyBorder="1" applyAlignment="1" applyProtection="1">
      <alignment horizontal="center" vertical="center"/>
      <protection locked="0"/>
    </xf>
    <xf numFmtId="3" fontId="14" fillId="4" borderId="14" xfId="0" applyNumberFormat="1" applyFont="1" applyFill="1" applyBorder="1" applyAlignment="1" applyProtection="1">
      <alignment horizontal="left" vertical="center" wrapText="1"/>
      <protection locked="0"/>
    </xf>
    <xf numFmtId="3" fontId="6" fillId="12" borderId="3" xfId="1" applyNumberFormat="1" applyFont="1" applyFill="1" applyBorder="1" applyAlignment="1">
      <alignment horizontal="center" vertical="center" wrapText="1"/>
    </xf>
    <xf numFmtId="2" fontId="6" fillId="12" borderId="4" xfId="0" applyNumberFormat="1" applyFont="1" applyFill="1" applyBorder="1" applyAlignment="1">
      <alignment horizontal="center" vertical="center" wrapText="1"/>
    </xf>
    <xf numFmtId="165" fontId="6" fillId="12" borderId="35" xfId="1" applyNumberFormat="1" applyFont="1" applyFill="1" applyBorder="1" applyAlignment="1">
      <alignment horizontal="center" vertical="center" wrapText="1"/>
    </xf>
    <xf numFmtId="0" fontId="21" fillId="13" borderId="14" xfId="0" applyFont="1" applyFill="1" applyBorder="1" applyAlignment="1">
      <alignment horizontal="left" vertical="center" wrapText="1"/>
    </xf>
    <xf numFmtId="0" fontId="21" fillId="13" borderId="14" xfId="0" applyFont="1" applyFill="1" applyBorder="1" applyAlignment="1">
      <alignment horizontal="center" vertical="center" wrapText="1"/>
    </xf>
    <xf numFmtId="0" fontId="33" fillId="2" borderId="5" xfId="4" applyFont="1" applyFill="1" applyBorder="1" applyAlignment="1" applyProtection="1">
      <protection locked="0"/>
    </xf>
    <xf numFmtId="0" fontId="33" fillId="8" borderId="5" xfId="4" applyFont="1" applyFill="1" applyBorder="1" applyAlignment="1" applyProtection="1">
      <protection locked="0"/>
    </xf>
    <xf numFmtId="0" fontId="38" fillId="7" borderId="1" xfId="0" applyFont="1" applyFill="1" applyBorder="1" applyAlignment="1" applyProtection="1">
      <alignment horizontal="left" vertical="center" wrapText="1"/>
    </xf>
    <xf numFmtId="0" fontId="5" fillId="2" borderId="0" xfId="0" applyFont="1" applyFill="1" applyAlignment="1" applyProtection="1">
      <alignment horizontal="center" vertical="center"/>
    </xf>
    <xf numFmtId="0" fontId="6" fillId="2" borderId="5" xfId="0" applyFont="1" applyFill="1" applyBorder="1" applyProtection="1"/>
    <xf numFmtId="0" fontId="5" fillId="2" borderId="0" xfId="0" applyFont="1" applyFill="1" applyProtection="1"/>
    <xf numFmtId="0" fontId="33" fillId="8" borderId="5" xfId="0" applyFont="1" applyFill="1" applyBorder="1" applyProtection="1"/>
    <xf numFmtId="0" fontId="34" fillId="2" borderId="0" xfId="0" applyFont="1" applyFill="1" applyProtection="1"/>
    <xf numFmtId="0" fontId="5" fillId="2" borderId="5" xfId="0" applyFont="1" applyFill="1" applyBorder="1" applyAlignment="1" applyProtection="1">
      <alignment vertical="center" wrapText="1"/>
    </xf>
    <xf numFmtId="0" fontId="5" fillId="5" borderId="5" xfId="0" applyFont="1" applyFill="1" applyBorder="1" applyAlignment="1" applyProtection="1">
      <alignment vertical="center" wrapText="1"/>
    </xf>
    <xf numFmtId="0" fontId="5" fillId="2" borderId="5" xfId="0" applyFont="1" applyFill="1" applyBorder="1" applyProtection="1"/>
    <xf numFmtId="0" fontId="33" fillId="2" borderId="5" xfId="0" applyFont="1" applyFill="1" applyBorder="1" applyProtection="1"/>
    <xf numFmtId="0" fontId="5" fillId="2" borderId="5" xfId="0" applyFont="1" applyFill="1" applyBorder="1" applyAlignment="1" applyProtection="1">
      <alignment wrapText="1"/>
    </xf>
    <xf numFmtId="0" fontId="12" fillId="2" borderId="5" xfId="0" applyFont="1" applyFill="1" applyBorder="1" applyProtection="1"/>
    <xf numFmtId="0" fontId="12" fillId="2" borderId="5" xfId="0" applyFont="1" applyFill="1" applyBorder="1" applyAlignment="1" applyProtection="1">
      <alignment wrapText="1"/>
    </xf>
    <xf numFmtId="0" fontId="12" fillId="2" borderId="5" xfId="0" applyFont="1" applyFill="1" applyBorder="1" applyAlignment="1" applyProtection="1">
      <alignment vertical="center" wrapText="1"/>
    </xf>
    <xf numFmtId="0" fontId="5" fillId="2" borderId="54" xfId="0" applyFont="1" applyFill="1" applyBorder="1" applyProtection="1"/>
    <xf numFmtId="0" fontId="6" fillId="2" borderId="0" xfId="0" applyFont="1" applyFill="1" applyProtection="1"/>
    <xf numFmtId="0" fontId="5" fillId="2" borderId="0" xfId="0" applyFont="1" applyFill="1" applyAlignment="1" applyProtection="1">
      <alignment vertical="center" wrapText="1"/>
    </xf>
    <xf numFmtId="3" fontId="12" fillId="0" borderId="0" xfId="0" applyNumberFormat="1"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3" fontId="12" fillId="0" borderId="0" xfId="0" applyNumberFormat="1" applyFont="1" applyFill="1" applyAlignment="1" applyProtection="1">
      <alignment horizontal="center" vertical="center"/>
    </xf>
    <xf numFmtId="3"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3" fontId="12" fillId="0" borderId="0" xfId="0" applyNumberFormat="1" applyFont="1" applyFill="1" applyBorder="1" applyAlignment="1" applyProtection="1">
      <alignment horizontal="center" vertical="center"/>
    </xf>
    <xf numFmtId="3" fontId="6" fillId="0" borderId="12" xfId="1" applyNumberFormat="1" applyFont="1" applyFill="1" applyBorder="1" applyAlignment="1" applyProtection="1">
      <alignment vertical="center" wrapText="1"/>
    </xf>
    <xf numFmtId="3" fontId="6" fillId="0" borderId="13" xfId="1" applyNumberFormat="1" applyFont="1" applyFill="1" applyBorder="1" applyAlignment="1" applyProtection="1">
      <alignment vertical="center" wrapText="1"/>
    </xf>
    <xf numFmtId="166" fontId="6" fillId="0" borderId="12" xfId="1" applyNumberFormat="1" applyFont="1" applyFill="1" applyBorder="1" applyAlignment="1" applyProtection="1">
      <alignment vertical="center" wrapText="1"/>
    </xf>
    <xf numFmtId="166" fontId="6" fillId="0" borderId="13" xfId="1" applyNumberFormat="1" applyFont="1" applyFill="1" applyBorder="1" applyAlignment="1" applyProtection="1">
      <alignment vertical="center" wrapText="1"/>
    </xf>
    <xf numFmtId="0" fontId="14" fillId="0" borderId="0" xfId="0" applyFont="1" applyFill="1" applyBorder="1" applyAlignment="1" applyProtection="1">
      <alignment horizontal="left" vertical="center" wrapText="1"/>
    </xf>
    <xf numFmtId="0" fontId="14" fillId="0" borderId="0" xfId="0" applyFont="1" applyFill="1" applyAlignment="1" applyProtection="1">
      <alignment horizontal="left" vertical="center" wrapText="1"/>
    </xf>
    <xf numFmtId="3" fontId="6" fillId="0" borderId="3" xfId="0" applyNumberFormat="1" applyFont="1" applyFill="1" applyBorder="1" applyAlignment="1" applyProtection="1">
      <alignment horizontal="center" vertical="center" wrapText="1"/>
    </xf>
    <xf numFmtId="166" fontId="14" fillId="0" borderId="47" xfId="1" applyNumberFormat="1" applyFont="1" applyFill="1" applyBorder="1" applyAlignment="1" applyProtection="1">
      <alignment horizontal="center" vertical="center" wrapText="1"/>
    </xf>
    <xf numFmtId="3" fontId="14" fillId="0" borderId="50" xfId="1" applyNumberFormat="1" applyFont="1" applyFill="1" applyBorder="1" applyAlignment="1" applyProtection="1">
      <alignment horizontal="center" vertical="center" wrapText="1"/>
    </xf>
    <xf numFmtId="3" fontId="14" fillId="0" borderId="49" xfId="1" applyNumberFormat="1"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14" fillId="0" borderId="50" xfId="0" applyFont="1" applyFill="1" applyBorder="1" applyAlignment="1" applyProtection="1">
      <alignment horizontal="center" vertical="center" wrapText="1"/>
    </xf>
    <xf numFmtId="0" fontId="14" fillId="0" borderId="48" xfId="0" applyFont="1" applyFill="1" applyBorder="1" applyAlignment="1" applyProtection="1">
      <alignment horizontal="center" vertical="center" wrapText="1"/>
    </xf>
    <xf numFmtId="0" fontId="14" fillId="0" borderId="52" xfId="0" applyFont="1" applyFill="1" applyBorder="1" applyAlignment="1" applyProtection="1">
      <alignment horizontal="center" vertical="center" wrapText="1"/>
    </xf>
    <xf numFmtId="0" fontId="14" fillId="0" borderId="51" xfId="0" applyFont="1" applyFill="1" applyBorder="1" applyAlignment="1" applyProtection="1">
      <alignment horizontal="center" vertical="center" wrapText="1"/>
    </xf>
    <xf numFmtId="166" fontId="14" fillId="0" borderId="48" xfId="1" applyNumberFormat="1" applyFont="1" applyFill="1" applyBorder="1" applyAlignment="1" applyProtection="1">
      <alignment horizontal="left" vertical="center" wrapText="1"/>
    </xf>
    <xf numFmtId="3" fontId="14" fillId="0" borderId="48" xfId="1" applyNumberFormat="1" applyFont="1" applyFill="1" applyBorder="1" applyAlignment="1" applyProtection="1">
      <alignment horizontal="center" vertical="center" wrapText="1"/>
    </xf>
    <xf numFmtId="0" fontId="14" fillId="0" borderId="47" xfId="0" applyFont="1" applyFill="1" applyBorder="1" applyAlignment="1" applyProtection="1">
      <alignment horizontal="center" vertical="center" wrapText="1"/>
    </xf>
    <xf numFmtId="3" fontId="12" fillId="0" borderId="0" xfId="1" quotePrefix="1" applyNumberFormat="1" applyFont="1" applyFill="1" applyBorder="1" applyAlignment="1" applyProtection="1">
      <alignment horizontal="center" vertical="center" wrapText="1"/>
    </xf>
    <xf numFmtId="3" fontId="1" fillId="2" borderId="16" xfId="12" applyNumberFormat="1" applyFont="1" applyFill="1" applyBorder="1" applyAlignment="1" applyProtection="1">
      <alignment horizontal="left" vertical="center"/>
    </xf>
    <xf numFmtId="3" fontId="12" fillId="2" borderId="7" xfId="1" applyNumberFormat="1" applyFont="1" applyFill="1" applyBorder="1" applyAlignment="1" applyProtection="1">
      <alignment horizontal="center" vertical="center"/>
    </xf>
    <xf numFmtId="165" fontId="12" fillId="2" borderId="7" xfId="1" applyNumberFormat="1" applyFont="1" applyFill="1" applyBorder="1" applyAlignment="1" applyProtection="1">
      <alignment horizontal="center" vertical="center"/>
    </xf>
    <xf numFmtId="3" fontId="12" fillId="0" borderId="0" xfId="1" applyNumberFormat="1" applyFont="1" applyFill="1" applyBorder="1" applyAlignment="1" applyProtection="1">
      <alignment horizontal="center" vertical="center"/>
    </xf>
    <xf numFmtId="1" fontId="12" fillId="2" borderId="5" xfId="0" applyNumberFormat="1" applyFont="1" applyFill="1" applyBorder="1" applyAlignment="1" applyProtection="1">
      <alignment horizontal="center" vertical="center"/>
    </xf>
    <xf numFmtId="1" fontId="12" fillId="2" borderId="10" xfId="0" applyNumberFormat="1" applyFont="1" applyFill="1" applyBorder="1" applyAlignment="1" applyProtection="1">
      <alignment horizontal="center" vertical="center"/>
    </xf>
    <xf numFmtId="165" fontId="12" fillId="2" borderId="10" xfId="1" applyNumberFormat="1" applyFont="1" applyFill="1" applyBorder="1" applyAlignment="1" applyProtection="1">
      <alignment horizontal="center" vertical="center"/>
    </xf>
    <xf numFmtId="3" fontId="12" fillId="2" borderId="0" xfId="1" applyNumberFormat="1" applyFont="1" applyFill="1" applyBorder="1" applyAlignment="1" applyProtection="1">
      <alignment horizontal="center" vertical="center"/>
    </xf>
    <xf numFmtId="165" fontId="12" fillId="2" borderId="0" xfId="1" applyNumberFormat="1" applyFont="1" applyFill="1" applyBorder="1" applyAlignment="1" applyProtection="1">
      <alignment horizontal="center" vertical="center"/>
    </xf>
    <xf numFmtId="1" fontId="12" fillId="2" borderId="0" xfId="0" applyNumberFormat="1" applyFont="1" applyFill="1" applyBorder="1" applyAlignment="1" applyProtection="1">
      <alignment horizontal="center" vertical="center"/>
    </xf>
    <xf numFmtId="3" fontId="12" fillId="2" borderId="10" xfId="1" applyNumberFormat="1"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12" fillId="2" borderId="0" xfId="0" applyFont="1" applyFill="1" applyAlignment="1" applyProtection="1">
      <alignment horizontal="left" vertical="center"/>
    </xf>
    <xf numFmtId="3" fontId="1" fillId="0" borderId="16" xfId="12" applyNumberFormat="1" applyFont="1" applyFill="1" applyBorder="1" applyAlignment="1" applyProtection="1">
      <alignment horizontal="left" vertical="center"/>
    </xf>
    <xf numFmtId="169" fontId="5" fillId="2" borderId="6" xfId="1" applyNumberFormat="1" applyFont="1" applyFill="1" applyBorder="1" applyAlignment="1" applyProtection="1">
      <alignment horizontal="center" vertical="center"/>
    </xf>
    <xf numFmtId="166" fontId="5" fillId="2" borderId="6" xfId="1" applyNumberFormat="1" applyFont="1" applyFill="1" applyBorder="1" applyAlignment="1" applyProtection="1">
      <alignment horizontal="center" vertical="center"/>
    </xf>
    <xf numFmtId="3" fontId="5" fillId="2" borderId="10" xfId="1" applyNumberFormat="1" applyFont="1" applyFill="1" applyBorder="1" applyAlignment="1" applyProtection="1">
      <alignment horizontal="center" vertical="center"/>
    </xf>
    <xf numFmtId="166" fontId="5" fillId="2" borderId="25" xfId="1" applyNumberFormat="1" applyFont="1" applyFill="1" applyBorder="1" applyAlignment="1" applyProtection="1">
      <alignment horizontal="center" vertical="center"/>
    </xf>
    <xf numFmtId="3" fontId="5" fillId="2" borderId="6" xfId="1" applyNumberFormat="1" applyFont="1" applyFill="1" applyBorder="1" applyAlignment="1" applyProtection="1">
      <alignment horizontal="center" vertical="center"/>
    </xf>
    <xf numFmtId="3" fontId="5" fillId="2" borderId="7" xfId="1" applyNumberFormat="1" applyFont="1" applyFill="1" applyBorder="1" applyAlignment="1" applyProtection="1">
      <alignment horizontal="center" vertical="center"/>
    </xf>
    <xf numFmtId="165" fontId="5" fillId="2" borderId="7" xfId="1" applyNumberFormat="1" applyFont="1" applyFill="1" applyBorder="1" applyAlignment="1" applyProtection="1">
      <alignment horizontal="center" vertical="center"/>
    </xf>
    <xf numFmtId="3" fontId="5" fillId="2" borderId="0" xfId="1" applyNumberFormat="1" applyFont="1" applyFill="1" applyBorder="1" applyAlignment="1" applyProtection="1">
      <alignment horizontal="center" vertical="center"/>
    </xf>
    <xf numFmtId="1" fontId="5" fillId="2" borderId="5" xfId="0" applyNumberFormat="1" applyFont="1" applyFill="1" applyBorder="1" applyAlignment="1" applyProtection="1">
      <alignment horizontal="center" vertical="center"/>
    </xf>
    <xf numFmtId="1" fontId="5" fillId="2" borderId="10" xfId="0" applyNumberFormat="1" applyFont="1" applyFill="1" applyBorder="1" applyAlignment="1" applyProtection="1">
      <alignment horizontal="center" vertical="center"/>
    </xf>
    <xf numFmtId="166" fontId="5" fillId="2" borderId="0" xfId="1" applyNumberFormat="1" applyFont="1" applyFill="1" applyBorder="1" applyAlignment="1" applyProtection="1">
      <alignment horizontal="left" vertical="center"/>
    </xf>
    <xf numFmtId="3" fontId="5" fillId="2" borderId="25" xfId="1" applyNumberFormat="1" applyFont="1" applyFill="1" applyBorder="1" applyAlignment="1" applyProtection="1">
      <alignment horizontal="center" vertical="center"/>
    </xf>
    <xf numFmtId="3" fontId="12" fillId="0" borderId="7" xfId="1" applyNumberFormat="1" applyFont="1" applyFill="1" applyBorder="1" applyAlignment="1" applyProtection="1">
      <alignment horizontal="center" vertical="center"/>
    </xf>
    <xf numFmtId="3" fontId="12" fillId="0" borderId="10" xfId="1" applyNumberFormat="1" applyFont="1" applyFill="1" applyBorder="1" applyAlignment="1" applyProtection="1">
      <alignment horizontal="center" vertical="center"/>
    </xf>
    <xf numFmtId="169" fontId="12" fillId="2" borderId="6" xfId="1" applyNumberFormat="1" applyFont="1" applyFill="1" applyBorder="1" applyAlignment="1" applyProtection="1">
      <alignment horizontal="center" vertical="center"/>
    </xf>
    <xf numFmtId="166" fontId="12" fillId="2" borderId="6" xfId="1" applyNumberFormat="1" applyFont="1" applyFill="1" applyBorder="1" applyAlignment="1" applyProtection="1">
      <alignment horizontal="center" vertical="center"/>
    </xf>
    <xf numFmtId="166" fontId="12" fillId="2" borderId="25" xfId="1" applyNumberFormat="1" applyFont="1" applyFill="1" applyBorder="1" applyAlignment="1" applyProtection="1">
      <alignment horizontal="center" vertical="center"/>
    </xf>
    <xf numFmtId="3" fontId="12" fillId="2" borderId="6" xfId="1" applyNumberFormat="1" applyFont="1" applyFill="1" applyBorder="1" applyAlignment="1" applyProtection="1">
      <alignment horizontal="center" vertical="center"/>
    </xf>
    <xf numFmtId="1" fontId="12" fillId="0" borderId="5" xfId="0" applyNumberFormat="1" applyFont="1" applyFill="1" applyBorder="1" applyAlignment="1" applyProtection="1">
      <alignment horizontal="center" vertical="center"/>
    </xf>
    <xf numFmtId="1" fontId="12" fillId="0" borderId="10" xfId="0" applyNumberFormat="1" applyFont="1" applyFill="1" applyBorder="1" applyAlignment="1" applyProtection="1">
      <alignment horizontal="center" vertical="center"/>
    </xf>
    <xf numFmtId="166" fontId="12" fillId="0" borderId="0" xfId="1" applyNumberFormat="1" applyFont="1" applyFill="1" applyBorder="1" applyAlignment="1" applyProtection="1">
      <alignment horizontal="left" vertical="center"/>
    </xf>
    <xf numFmtId="3" fontId="12" fillId="0" borderId="25" xfId="1" applyNumberFormat="1" applyFont="1" applyFill="1" applyBorder="1" applyAlignment="1" applyProtection="1">
      <alignment horizontal="center" vertical="center"/>
    </xf>
    <xf numFmtId="165" fontId="12" fillId="0" borderId="7" xfId="1" applyNumberFormat="1" applyFont="1" applyFill="1" applyBorder="1" applyAlignment="1" applyProtection="1">
      <alignment horizontal="center" vertical="center"/>
    </xf>
    <xf numFmtId="165" fontId="12" fillId="0" borderId="10" xfId="1" applyNumberFormat="1" applyFont="1" applyFill="1" applyBorder="1" applyAlignment="1" applyProtection="1">
      <alignment horizontal="center" vertical="center"/>
    </xf>
    <xf numFmtId="165" fontId="12" fillId="0" borderId="0" xfId="1" applyNumberFormat="1" applyFont="1" applyFill="1" applyBorder="1" applyAlignment="1" applyProtection="1">
      <alignment horizontal="center" vertical="center"/>
    </xf>
    <xf numFmtId="166" fontId="12" fillId="2" borderId="0" xfId="1" applyNumberFormat="1" applyFont="1" applyFill="1" applyBorder="1" applyAlignment="1" applyProtection="1">
      <alignment horizontal="left" vertical="center"/>
    </xf>
    <xf numFmtId="169" fontId="12" fillId="2" borderId="0" xfId="1" applyNumberFormat="1" applyFont="1" applyFill="1" applyBorder="1" applyAlignment="1" applyProtection="1">
      <alignment horizontal="center" vertical="center"/>
    </xf>
    <xf numFmtId="165" fontId="12" fillId="2" borderId="25" xfId="1" applyNumberFormat="1" applyFont="1" applyFill="1" applyBorder="1" applyAlignment="1" applyProtection="1">
      <alignment horizontal="center" vertical="center"/>
    </xf>
    <xf numFmtId="3" fontId="12" fillId="2" borderId="25" xfId="1" applyNumberFormat="1" applyFont="1" applyFill="1" applyBorder="1" applyAlignment="1" applyProtection="1">
      <alignment horizontal="center" vertical="center"/>
    </xf>
    <xf numFmtId="3" fontId="14" fillId="2" borderId="22" xfId="0" applyNumberFormat="1" applyFont="1" applyFill="1" applyBorder="1" applyAlignment="1" applyProtection="1">
      <alignment horizontal="left" vertical="center"/>
    </xf>
    <xf numFmtId="169" fontId="14" fillId="2" borderId="23" xfId="1" applyNumberFormat="1" applyFont="1" applyFill="1" applyBorder="1" applyAlignment="1" applyProtection="1">
      <alignment horizontal="center" vertical="center"/>
    </xf>
    <xf numFmtId="166" fontId="12" fillId="2" borderId="23" xfId="1" applyNumberFormat="1" applyFont="1" applyFill="1" applyBorder="1" applyAlignment="1" applyProtection="1">
      <alignment horizontal="center" vertical="center"/>
    </xf>
    <xf numFmtId="3" fontId="14" fillId="2" borderId="28" xfId="1" applyNumberFormat="1" applyFont="1" applyFill="1" applyBorder="1" applyAlignment="1" applyProtection="1">
      <alignment horizontal="center" vertical="center"/>
    </xf>
    <xf numFmtId="169" fontId="14" fillId="2" borderId="26" xfId="1" applyNumberFormat="1" applyFont="1" applyFill="1" applyBorder="1" applyAlignment="1" applyProtection="1"/>
    <xf numFmtId="3" fontId="12" fillId="2" borderId="23" xfId="1" applyNumberFormat="1" applyFont="1" applyFill="1" applyBorder="1" applyAlignment="1" applyProtection="1">
      <alignment horizontal="center" vertical="center"/>
    </xf>
    <xf numFmtId="3" fontId="12" fillId="2" borderId="24" xfId="1" applyNumberFormat="1" applyFont="1" applyFill="1" applyBorder="1" applyAlignment="1" applyProtection="1">
      <alignment horizontal="center" vertical="center"/>
    </xf>
    <xf numFmtId="3" fontId="14" fillId="2" borderId="24" xfId="1" applyNumberFormat="1" applyFont="1" applyFill="1" applyBorder="1" applyAlignment="1" applyProtection="1">
      <alignment horizontal="center" vertical="center"/>
    </xf>
    <xf numFmtId="5" fontId="14" fillId="2" borderId="24" xfId="1" applyNumberFormat="1" applyFont="1" applyFill="1" applyBorder="1" applyAlignment="1" applyProtection="1">
      <alignment horizontal="center" vertical="center"/>
    </xf>
    <xf numFmtId="5" fontId="14" fillId="2" borderId="28" xfId="1" applyNumberFormat="1" applyFont="1" applyFill="1" applyBorder="1" applyAlignment="1" applyProtection="1">
      <alignment horizontal="center" vertical="center"/>
    </xf>
    <xf numFmtId="169" fontId="14" fillId="2" borderId="21" xfId="1" applyNumberFormat="1" applyFont="1" applyFill="1" applyBorder="1" applyAlignment="1" applyProtection="1">
      <alignment horizontal="center" vertical="center"/>
    </xf>
    <xf numFmtId="166" fontId="12" fillId="2" borderId="21" xfId="1" applyNumberFormat="1" applyFont="1" applyFill="1" applyBorder="1" applyAlignment="1" applyProtection="1">
      <alignment horizontal="left" vertical="center"/>
    </xf>
    <xf numFmtId="5" fontId="14" fillId="2" borderId="21" xfId="1" applyNumberFormat="1" applyFont="1" applyFill="1" applyBorder="1" applyAlignment="1" applyProtection="1">
      <alignment horizontal="center" vertical="center"/>
    </xf>
    <xf numFmtId="169" fontId="14" fillId="2" borderId="26" xfId="1" applyNumberFormat="1" applyFont="1" applyFill="1" applyBorder="1" applyAlignment="1" applyProtection="1">
      <alignment horizontal="center" vertical="center"/>
    </xf>
    <xf numFmtId="169" fontId="14" fillId="2" borderId="28" xfId="1" applyNumberFormat="1" applyFont="1" applyFill="1" applyBorder="1" applyAlignment="1" applyProtection="1">
      <alignment horizontal="center" vertical="center"/>
    </xf>
    <xf numFmtId="165" fontId="14" fillId="2" borderId="30" xfId="1" applyNumberFormat="1" applyFont="1" applyFill="1" applyBorder="1" applyAlignment="1" applyProtection="1">
      <alignment horizontal="center" vertical="center"/>
    </xf>
    <xf numFmtId="3" fontId="37" fillId="0" borderId="0" xfId="0" applyNumberFormat="1" applyFont="1" applyFill="1" applyAlignment="1" applyProtection="1">
      <alignment horizontal="left" vertical="center"/>
    </xf>
    <xf numFmtId="0" fontId="37" fillId="0" borderId="0" xfId="0" applyFont="1" applyFill="1" applyAlignment="1" applyProtection="1">
      <alignment horizontal="left" vertical="center"/>
    </xf>
    <xf numFmtId="0" fontId="36" fillId="0" borderId="0" xfId="0" applyFont="1" applyAlignment="1" applyProtection="1">
      <alignment horizontal="justify"/>
    </xf>
    <xf numFmtId="169" fontId="12" fillId="5" borderId="0" xfId="1"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xf>
    <xf numFmtId="0" fontId="12" fillId="2" borderId="0" xfId="0" applyFont="1" applyFill="1" applyBorder="1" applyProtection="1"/>
    <xf numFmtId="10" fontId="12" fillId="2" borderId="0" xfId="0" applyNumberFormat="1" applyFont="1" applyFill="1" applyBorder="1" applyAlignment="1" applyProtection="1">
      <alignment horizontal="center" vertical="center"/>
    </xf>
    <xf numFmtId="9" fontId="12" fillId="2" borderId="0" xfId="0" applyNumberFormat="1" applyFont="1" applyFill="1" applyBorder="1" applyAlignment="1" applyProtection="1">
      <alignment horizontal="center" vertical="center"/>
    </xf>
    <xf numFmtId="0" fontId="1" fillId="2" borderId="0" xfId="8" applyFont="1" applyFill="1" applyBorder="1" applyProtection="1"/>
    <xf numFmtId="165" fontId="5" fillId="2" borderId="0" xfId="8" applyNumberFormat="1" applyFont="1" applyFill="1" applyBorder="1" applyAlignment="1" applyProtection="1">
      <alignment horizontal="center"/>
    </xf>
    <xf numFmtId="165" fontId="6" fillId="2" borderId="12" xfId="8" applyNumberFormat="1" applyFont="1" applyFill="1" applyBorder="1" applyAlignment="1" applyProtection="1">
      <alignment horizontal="center"/>
    </xf>
    <xf numFmtId="165" fontId="6" fillId="2" borderId="13" xfId="8" applyNumberFormat="1" applyFont="1" applyFill="1" applyBorder="1" applyAlignment="1" applyProtection="1">
      <alignment horizontal="center"/>
    </xf>
    <xf numFmtId="0" fontId="20" fillId="2" borderId="25" xfId="0" applyFont="1" applyFill="1" applyBorder="1" applyProtection="1"/>
    <xf numFmtId="0" fontId="1" fillId="2" borderId="0" xfId="8" applyFont="1" applyFill="1" applyBorder="1" applyAlignment="1" applyProtection="1">
      <alignment horizontal="center"/>
    </xf>
    <xf numFmtId="165" fontId="5" fillId="2" borderId="10" xfId="8" applyNumberFormat="1" applyFont="1" applyFill="1" applyBorder="1" applyAlignment="1" applyProtection="1">
      <alignment horizontal="center"/>
    </xf>
    <xf numFmtId="0" fontId="5" fillId="2" borderId="25" xfId="8" applyFont="1" applyFill="1" applyBorder="1" applyProtection="1"/>
    <xf numFmtId="0" fontId="5" fillId="2" borderId="0" xfId="8" applyFont="1" applyFill="1" applyBorder="1" applyAlignment="1" applyProtection="1">
      <alignment horizontal="center"/>
    </xf>
    <xf numFmtId="0" fontId="6" fillId="2" borderId="11" xfId="8" applyFont="1" applyFill="1" applyBorder="1" applyProtection="1"/>
    <xf numFmtId="0" fontId="5" fillId="2" borderId="12" xfId="8" applyFont="1" applyFill="1" applyBorder="1" applyAlignment="1" applyProtection="1">
      <alignment horizontal="center"/>
    </xf>
    <xf numFmtId="0" fontId="5" fillId="2" borderId="0" xfId="8" applyFont="1" applyFill="1" applyBorder="1" applyProtection="1"/>
    <xf numFmtId="0" fontId="12" fillId="2" borderId="0" xfId="0" applyFont="1" applyFill="1" applyBorder="1" applyAlignment="1" applyProtection="1">
      <alignment vertical="center" wrapText="1"/>
    </xf>
    <xf numFmtId="0" fontId="14" fillId="2" borderId="0" xfId="0" applyFont="1" applyFill="1" applyBorder="1" applyAlignment="1" applyProtection="1">
      <alignment vertical="center" wrapText="1"/>
    </xf>
    <xf numFmtId="3" fontId="12" fillId="2" borderId="0" xfId="0" applyNumberFormat="1" applyFont="1" applyFill="1" applyBorder="1" applyAlignment="1" applyProtection="1">
      <alignment horizontal="center" vertical="center"/>
    </xf>
    <xf numFmtId="9" fontId="12" fillId="2" borderId="0" xfId="0" applyNumberFormat="1" applyFont="1" applyFill="1" applyBorder="1" applyAlignment="1" applyProtection="1">
      <alignment vertical="center"/>
    </xf>
    <xf numFmtId="10" fontId="12" fillId="2" borderId="0" xfId="0" applyNumberFormat="1" applyFont="1" applyFill="1" applyBorder="1" applyAlignment="1" applyProtection="1">
      <alignment vertical="center"/>
    </xf>
    <xf numFmtId="167" fontId="12" fillId="2" borderId="0" xfId="0" applyNumberFormat="1" applyFont="1" applyFill="1" applyBorder="1" applyAlignment="1" applyProtection="1">
      <alignment horizontal="center" vertical="center"/>
    </xf>
    <xf numFmtId="0" fontId="12" fillId="2" borderId="0" xfId="0" applyFont="1" applyFill="1" applyBorder="1" applyAlignment="1" applyProtection="1">
      <alignment horizontal="left" vertical="center" wrapText="1"/>
    </xf>
    <xf numFmtId="168" fontId="12"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vertical="center" wrapText="1"/>
    </xf>
    <xf numFmtId="2" fontId="12" fillId="2" borderId="0" xfId="0" applyNumberFormat="1" applyFont="1" applyFill="1" applyBorder="1" applyAlignment="1" applyProtection="1">
      <alignment horizontal="center" vertical="center"/>
    </xf>
    <xf numFmtId="0" fontId="17" fillId="2" borderId="0" xfId="0" applyFont="1" applyFill="1" applyBorder="1" applyAlignment="1" applyProtection="1">
      <alignment vertical="center" wrapText="1"/>
    </xf>
    <xf numFmtId="0" fontId="12" fillId="2" borderId="0" xfId="0" applyFont="1" applyFill="1" applyBorder="1" applyAlignment="1" applyProtection="1">
      <alignment horizontal="right" vertical="center" wrapText="1"/>
    </xf>
    <xf numFmtId="0" fontId="14" fillId="2" borderId="0" xfId="0" applyFont="1" applyFill="1" applyBorder="1" applyAlignment="1" applyProtection="1">
      <alignment horizontal="right" vertical="center" wrapText="1"/>
    </xf>
    <xf numFmtId="165" fontId="16" fillId="2" borderId="0" xfId="0" applyNumberFormat="1" applyFont="1" applyFill="1" applyBorder="1" applyAlignment="1" applyProtection="1">
      <alignment horizontal="center" vertical="center"/>
    </xf>
    <xf numFmtId="0" fontId="21" fillId="2" borderId="0" xfId="0" applyFont="1" applyFill="1" applyBorder="1" applyAlignment="1" applyProtection="1">
      <alignment vertical="center" wrapText="1"/>
    </xf>
    <xf numFmtId="0" fontId="14" fillId="2" borderId="0" xfId="0" applyFont="1" applyFill="1" applyBorder="1" applyProtection="1"/>
    <xf numFmtId="0" fontId="15" fillId="2" borderId="0" xfId="0" applyFont="1" applyFill="1" applyBorder="1" applyAlignment="1" applyProtection="1">
      <alignment vertical="center" wrapText="1"/>
    </xf>
    <xf numFmtId="165" fontId="12" fillId="2" borderId="0" xfId="0" applyNumberFormat="1" applyFont="1" applyFill="1" applyBorder="1" applyAlignment="1" applyProtection="1">
      <alignment horizontal="center" vertical="center" wrapText="1"/>
    </xf>
    <xf numFmtId="9" fontId="12" fillId="2" borderId="0" xfId="0" applyNumberFormat="1" applyFont="1" applyFill="1" applyBorder="1" applyAlignment="1" applyProtection="1">
      <alignment horizontal="center"/>
    </xf>
    <xf numFmtId="0" fontId="20" fillId="2" borderId="0" xfId="0" applyFont="1" applyFill="1" applyBorder="1" applyAlignment="1" applyProtection="1">
      <alignment vertical="center" wrapText="1"/>
    </xf>
    <xf numFmtId="0" fontId="12" fillId="2" borderId="0" xfId="0" applyFont="1" applyFill="1" applyBorder="1" applyAlignment="1" applyProtection="1">
      <alignment horizontal="center" vertical="center"/>
    </xf>
    <xf numFmtId="164" fontId="12" fillId="2" borderId="0" xfId="0" applyNumberFormat="1" applyFont="1" applyFill="1" applyBorder="1" applyAlignment="1" applyProtection="1">
      <alignment horizontal="center" vertical="center"/>
    </xf>
    <xf numFmtId="165" fontId="12" fillId="2" borderId="0" xfId="0" applyNumberFormat="1" applyFont="1" applyFill="1" applyBorder="1" applyAlignment="1" applyProtection="1">
      <alignment horizontal="center" vertical="center"/>
    </xf>
    <xf numFmtId="1" fontId="12" fillId="2" borderId="0" xfId="0" applyNumberFormat="1" applyFont="1" applyFill="1" applyBorder="1" applyAlignment="1" applyProtection="1">
      <alignment horizontal="center"/>
    </xf>
    <xf numFmtId="0" fontId="14" fillId="2" borderId="0" xfId="0" applyFont="1" applyFill="1" applyBorder="1" applyAlignment="1" applyProtection="1">
      <alignment horizontal="center" vertical="center" wrapText="1"/>
    </xf>
    <xf numFmtId="165" fontId="14" fillId="2" borderId="0" xfId="0" applyNumberFormat="1" applyFont="1" applyFill="1" applyBorder="1" applyAlignment="1" applyProtection="1">
      <alignment horizontal="center" vertical="center"/>
    </xf>
    <xf numFmtId="3" fontId="14" fillId="2" borderId="0" xfId="0" applyNumberFormat="1" applyFont="1" applyFill="1" applyBorder="1" applyAlignment="1" applyProtection="1">
      <alignment horizontal="center" vertical="center"/>
    </xf>
    <xf numFmtId="165" fontId="5" fillId="5" borderId="0" xfId="8" applyNumberFormat="1" applyFont="1" applyFill="1" applyBorder="1" applyAlignment="1" applyProtection="1">
      <alignment horizontal="center"/>
      <protection locked="0"/>
    </xf>
    <xf numFmtId="3" fontId="14" fillId="2" borderId="23" xfId="1" applyNumberFormat="1" applyFont="1" applyFill="1" applyBorder="1" applyAlignment="1" applyProtection="1">
      <alignment horizontal="center" vertical="center"/>
    </xf>
    <xf numFmtId="3" fontId="14" fillId="2" borderId="21" xfId="1" applyNumberFormat="1" applyFont="1" applyFill="1" applyBorder="1" applyAlignment="1" applyProtection="1">
      <alignment horizontal="center" vertical="center"/>
    </xf>
    <xf numFmtId="1" fontId="14" fillId="2" borderId="53" xfId="0" applyNumberFormat="1" applyFont="1" applyFill="1" applyBorder="1" applyAlignment="1" applyProtection="1">
      <alignment horizontal="center" vertical="center"/>
    </xf>
    <xf numFmtId="0" fontId="6" fillId="2" borderId="12" xfId="8" applyFont="1" applyFill="1" applyBorder="1" applyAlignment="1" applyProtection="1">
      <alignment horizontal="center" wrapText="1"/>
    </xf>
    <xf numFmtId="0" fontId="38" fillId="7" borderId="11" xfId="0" applyFont="1" applyFill="1" applyBorder="1" applyAlignment="1">
      <alignment horizontal="center" vertical="center"/>
    </xf>
    <xf numFmtId="0" fontId="38" fillId="7" borderId="12" xfId="0" applyFont="1" applyFill="1" applyBorder="1" applyAlignment="1">
      <alignment horizontal="center" vertical="center"/>
    </xf>
    <xf numFmtId="0" fontId="38" fillId="7" borderId="13" xfId="0" applyFont="1" applyFill="1" applyBorder="1" applyAlignment="1">
      <alignment horizontal="center" vertical="center"/>
    </xf>
    <xf numFmtId="3" fontId="29" fillId="0" borderId="25" xfId="0" applyNumberFormat="1" applyFont="1" applyFill="1" applyBorder="1" applyAlignment="1" applyProtection="1">
      <alignment horizontal="center" vertical="center" wrapText="1"/>
    </xf>
    <xf numFmtId="3" fontId="29" fillId="0" borderId="55" xfId="0" applyNumberFormat="1" applyFont="1" applyFill="1" applyBorder="1" applyAlignment="1" applyProtection="1">
      <alignment horizontal="center" vertical="center" wrapText="1"/>
    </xf>
    <xf numFmtId="1" fontId="12" fillId="9" borderId="29" xfId="0" applyNumberFormat="1" applyFont="1" applyFill="1" applyBorder="1" applyAlignment="1" applyProtection="1">
      <alignment horizontal="center" vertical="center"/>
    </xf>
    <xf numFmtId="1" fontId="12" fillId="9" borderId="12" xfId="0" applyNumberFormat="1" applyFont="1" applyFill="1" applyBorder="1" applyAlignment="1" applyProtection="1">
      <alignment horizontal="center" vertical="center"/>
    </xf>
    <xf numFmtId="1" fontId="12" fillId="9" borderId="13" xfId="0" applyNumberFormat="1" applyFont="1" applyFill="1" applyBorder="1" applyAlignment="1" applyProtection="1">
      <alignment horizontal="center" vertical="center"/>
    </xf>
    <xf numFmtId="0" fontId="38" fillId="7" borderId="0" xfId="0" applyFont="1" applyFill="1" applyAlignment="1" applyProtection="1">
      <alignment horizontal="center" vertical="center"/>
    </xf>
    <xf numFmtId="1" fontId="14" fillId="9" borderId="29" xfId="0" applyNumberFormat="1" applyFont="1" applyFill="1" applyBorder="1" applyAlignment="1" applyProtection="1">
      <alignment horizontal="center" vertical="center"/>
    </xf>
    <xf numFmtId="1" fontId="14" fillId="9" borderId="12" xfId="0" applyNumberFormat="1" applyFont="1" applyFill="1" applyBorder="1" applyAlignment="1" applyProtection="1">
      <alignment horizontal="center" vertical="center"/>
    </xf>
    <xf numFmtId="1" fontId="14" fillId="9" borderId="13" xfId="0" applyNumberFormat="1" applyFont="1" applyFill="1" applyBorder="1" applyAlignment="1" applyProtection="1">
      <alignment horizontal="center" vertical="center"/>
    </xf>
    <xf numFmtId="0" fontId="6" fillId="0" borderId="50"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3" fontId="32" fillId="0" borderId="0" xfId="1" applyNumberFormat="1" applyFont="1" applyFill="1" applyBorder="1" applyAlignment="1" applyProtection="1">
      <alignment horizontal="center" vertical="center" wrapText="1"/>
    </xf>
    <xf numFmtId="166" fontId="6" fillId="11" borderId="29" xfId="1" applyNumberFormat="1" applyFont="1" applyFill="1" applyBorder="1" applyAlignment="1" applyProtection="1">
      <alignment horizontal="center" vertical="center" wrapText="1"/>
    </xf>
    <xf numFmtId="166" fontId="6" fillId="11" borderId="12" xfId="1" applyNumberFormat="1" applyFont="1" applyFill="1" applyBorder="1" applyAlignment="1" applyProtection="1">
      <alignment horizontal="center" vertical="center" wrapText="1"/>
    </xf>
    <xf numFmtId="166" fontId="6" fillId="11" borderId="13" xfId="1" applyNumberFormat="1" applyFont="1" applyFill="1" applyBorder="1" applyAlignment="1" applyProtection="1">
      <alignment horizontal="center" vertical="center" wrapText="1"/>
    </xf>
    <xf numFmtId="166" fontId="14" fillId="10" borderId="11" xfId="1" applyNumberFormat="1" applyFont="1" applyFill="1" applyBorder="1" applyAlignment="1" applyProtection="1">
      <alignment horizontal="center" vertical="center" wrapText="1"/>
    </xf>
    <xf numFmtId="166" fontId="14" fillId="10" borderId="12" xfId="1" applyNumberFormat="1" applyFont="1" applyFill="1" applyBorder="1" applyAlignment="1" applyProtection="1">
      <alignment horizontal="center" vertical="center" wrapText="1"/>
    </xf>
    <xf numFmtId="166" fontId="14" fillId="10" borderId="27" xfId="1" applyNumberFormat="1" applyFont="1" applyFill="1" applyBorder="1" applyAlignment="1" applyProtection="1">
      <alignment horizontal="center" vertical="center" wrapText="1"/>
    </xf>
    <xf numFmtId="1" fontId="40" fillId="8" borderId="11" xfId="0" applyNumberFormat="1" applyFont="1" applyFill="1" applyBorder="1" applyAlignment="1" applyProtection="1">
      <alignment horizontal="center" vertical="center"/>
    </xf>
    <xf numFmtId="1" fontId="40" fillId="8" borderId="12" xfId="0" applyNumberFormat="1" applyFont="1" applyFill="1" applyBorder="1" applyAlignment="1" applyProtection="1">
      <alignment horizontal="center" vertical="center"/>
    </xf>
    <xf numFmtId="1" fontId="40" fillId="8" borderId="13" xfId="0" applyNumberFormat="1" applyFont="1" applyFill="1" applyBorder="1" applyAlignment="1" applyProtection="1">
      <alignment horizontal="center" vertical="center"/>
    </xf>
    <xf numFmtId="166" fontId="14" fillId="12" borderId="11" xfId="1" applyNumberFormat="1" applyFont="1" applyFill="1" applyBorder="1" applyAlignment="1" applyProtection="1">
      <alignment horizontal="center" vertical="center" wrapText="1"/>
    </xf>
    <xf numFmtId="166" fontId="14" fillId="12" borderId="12" xfId="1" applyNumberFormat="1" applyFont="1" applyFill="1" applyBorder="1" applyAlignment="1" applyProtection="1">
      <alignment horizontal="center" vertical="center" wrapText="1"/>
    </xf>
    <xf numFmtId="3" fontId="40" fillId="8" borderId="11" xfId="1" applyNumberFormat="1" applyFont="1" applyFill="1" applyBorder="1" applyAlignment="1" applyProtection="1">
      <alignment horizontal="center" vertical="center" wrapText="1"/>
    </xf>
    <xf numFmtId="3" fontId="33" fillId="8" borderId="12" xfId="1" applyNumberFormat="1" applyFont="1" applyFill="1" applyBorder="1" applyAlignment="1" applyProtection="1">
      <alignment horizontal="center" vertical="center" wrapText="1"/>
    </xf>
    <xf numFmtId="3" fontId="33" fillId="8" borderId="13" xfId="1" applyNumberFormat="1" applyFont="1" applyFill="1" applyBorder="1" applyAlignment="1" applyProtection="1">
      <alignment horizontal="center" vertical="center" wrapText="1"/>
    </xf>
    <xf numFmtId="166" fontId="6" fillId="12" borderId="11" xfId="1" applyNumberFormat="1" applyFont="1" applyFill="1" applyBorder="1" applyAlignment="1" applyProtection="1">
      <alignment horizontal="center" vertical="center" wrapText="1"/>
    </xf>
    <xf numFmtId="166" fontId="6" fillId="12" borderId="12" xfId="1" applyNumberFormat="1" applyFont="1" applyFill="1" applyBorder="1" applyAlignment="1" applyProtection="1">
      <alignment horizontal="center" vertical="center" wrapText="1"/>
    </xf>
    <xf numFmtId="166" fontId="6" fillId="12" borderId="13" xfId="1" applyNumberFormat="1" applyFont="1" applyFill="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8" fillId="7" borderId="12" xfId="0" applyFont="1" applyFill="1" applyBorder="1" applyAlignment="1" applyProtection="1">
      <alignment horizontal="center" vertical="center" wrapText="1"/>
    </xf>
    <xf numFmtId="0" fontId="38" fillId="7" borderId="13" xfId="0" applyFont="1" applyFill="1" applyBorder="1" applyAlignment="1" applyProtection="1">
      <alignment horizontal="center" vertical="center" wrapText="1"/>
    </xf>
    <xf numFmtId="0" fontId="6" fillId="6" borderId="44" xfId="0" applyFont="1" applyFill="1" applyBorder="1" applyAlignment="1">
      <alignment horizontal="left" vertical="center" wrapText="1"/>
    </xf>
    <xf numFmtId="0" fontId="6" fillId="6" borderId="45" xfId="0" applyFont="1" applyFill="1" applyBorder="1" applyAlignment="1">
      <alignment horizontal="left" vertical="center" wrapText="1"/>
    </xf>
    <xf numFmtId="0" fontId="6" fillId="6" borderId="46" xfId="0" applyFont="1" applyFill="1" applyBorder="1" applyAlignment="1">
      <alignment horizontal="left" vertical="center" wrapText="1"/>
    </xf>
    <xf numFmtId="0" fontId="38" fillId="7" borderId="11" xfId="0" applyFont="1" applyFill="1" applyBorder="1" applyAlignment="1">
      <alignment horizontal="center" vertical="center" wrapText="1"/>
    </xf>
    <xf numFmtId="0" fontId="38" fillId="7" borderId="12" xfId="0" applyFont="1" applyFill="1" applyBorder="1" applyAlignment="1">
      <alignment horizontal="center" vertical="center" wrapText="1"/>
    </xf>
    <xf numFmtId="0" fontId="38" fillId="7" borderId="13" xfId="0" applyFont="1" applyFill="1" applyBorder="1" applyAlignment="1">
      <alignment horizontal="center" vertical="center" wrapText="1"/>
    </xf>
    <xf numFmtId="0" fontId="6" fillId="6" borderId="32"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40" fillId="2" borderId="39" xfId="0" applyFont="1" applyFill="1" applyBorder="1" applyAlignment="1">
      <alignment vertical="center" wrapText="1"/>
    </xf>
    <xf numFmtId="0" fontId="40" fillId="2" borderId="8" xfId="0" applyFont="1" applyFill="1" applyBorder="1" applyAlignment="1">
      <alignment vertical="center" wrapText="1"/>
    </xf>
    <xf numFmtId="0" fontId="40" fillId="2" borderId="40" xfId="0" applyFont="1" applyFill="1" applyBorder="1" applyAlignment="1">
      <alignment vertical="center" wrapText="1"/>
    </xf>
    <xf numFmtId="0" fontId="5" fillId="9" borderId="41" xfId="0" applyFont="1" applyFill="1" applyBorder="1" applyAlignment="1">
      <alignment horizontal="center" vertical="center" wrapText="1"/>
    </xf>
    <xf numFmtId="0" fontId="5" fillId="9" borderId="42" xfId="0" applyFont="1" applyFill="1" applyBorder="1" applyAlignment="1">
      <alignment horizontal="center" vertical="center" wrapText="1"/>
    </xf>
    <xf numFmtId="0" fontId="5" fillId="9" borderId="43" xfId="0" applyFont="1" applyFill="1" applyBorder="1" applyAlignment="1">
      <alignment horizontal="center" vertical="center" wrapText="1"/>
    </xf>
    <xf numFmtId="0" fontId="6" fillId="11" borderId="36" xfId="0" applyFont="1" applyFill="1" applyBorder="1" applyAlignment="1">
      <alignment horizontal="center" vertical="center" wrapText="1"/>
    </xf>
    <xf numFmtId="0" fontId="6" fillId="11" borderId="37" xfId="0" applyFont="1" applyFill="1" applyBorder="1" applyAlignment="1">
      <alignment horizontal="center" vertical="center" wrapText="1"/>
    </xf>
    <xf numFmtId="0" fontId="6" fillId="11" borderId="38" xfId="0" applyFont="1" applyFill="1" applyBorder="1" applyAlignment="1">
      <alignment horizontal="center" vertical="center" wrapText="1"/>
    </xf>
    <xf numFmtId="3" fontId="6" fillId="12" borderId="2" xfId="0" applyNumberFormat="1" applyFont="1" applyFill="1" applyBorder="1" applyAlignment="1">
      <alignment horizontal="center" vertical="center" wrapText="1"/>
    </xf>
    <xf numFmtId="0" fontId="6" fillId="12" borderId="9" xfId="0" applyFont="1" applyFill="1" applyBorder="1" applyAlignment="1">
      <alignment horizontal="center" vertical="center" wrapText="1"/>
    </xf>
    <xf numFmtId="0" fontId="6" fillId="12" borderId="31" xfId="0" applyFont="1" applyFill="1" applyBorder="1" applyAlignment="1">
      <alignment horizontal="center" vertical="center" wrapTex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cellXfs>
  <cellStyles count="16">
    <cellStyle name="Comma" xfId="1" builtinId="3"/>
    <cellStyle name="Comma 2" xfId="2"/>
    <cellStyle name="Comma 3" xfId="3"/>
    <cellStyle name="Hyperlink" xfId="4" builtinId="8"/>
    <cellStyle name="Hyperlink 2" xfId="5"/>
    <cellStyle name="Hyperlink 2 2" xfId="6"/>
    <cellStyle name="Hyperlink 3" xfId="7"/>
    <cellStyle name="Normal" xfId="0" builtinId="0"/>
    <cellStyle name="Normal 2" xfId="8"/>
    <cellStyle name="Normal 2 2" xfId="9"/>
    <cellStyle name="Normal 3" xfId="10"/>
    <cellStyle name="Normal 3 2" xfId="11"/>
    <cellStyle name="Normal 4" xfId="12"/>
    <cellStyle name="Normal 4 2" xfId="15"/>
    <cellStyle name="Percent 2" xfId="13"/>
    <cellStyle name="Percent 3" xfId="14"/>
  </cellStyles>
  <dxfs count="0"/>
  <tableStyles count="0" defaultTableStyle="TableStyleMedium9" defaultPivotStyle="PivotStyleLight16"/>
  <colors>
    <mruColors>
      <color rgb="FFCC66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28586</xdr:colOff>
      <xdr:row>0</xdr:row>
      <xdr:rowOff>38102</xdr:rowOff>
    </xdr:from>
    <xdr:to>
      <xdr:col>8</xdr:col>
      <xdr:colOff>144776</xdr:colOff>
      <xdr:row>37</xdr:row>
      <xdr:rowOff>46575</xdr:rowOff>
    </xdr:to>
    <xdr:pic>
      <xdr:nvPicPr>
        <xdr:cNvPr id="2" name="Picture 1" descr="SCC COVER3.jpg"/>
        <xdr:cNvPicPr>
          <a:picLocks noChangeAspect="1"/>
        </xdr:cNvPicPr>
      </xdr:nvPicPr>
      <xdr:blipFill>
        <a:blip xmlns:r="http://schemas.openxmlformats.org/officeDocument/2006/relationships" r:embed="rId1" cstate="print"/>
        <a:stretch>
          <a:fillRect/>
        </a:stretch>
      </xdr:blipFill>
      <xdr:spPr>
        <a:xfrm>
          <a:off x="28586" y="38102"/>
          <a:ext cx="4992990" cy="7056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2</xdr:col>
      <xdr:colOff>1548388</xdr:colOff>
      <xdr:row>4</xdr:row>
      <xdr:rowOff>109729</xdr:rowOff>
    </xdr:to>
    <xdr:pic>
      <xdr:nvPicPr>
        <xdr:cNvPr id="2" name="Picture 1" descr="HISlogo.png"/>
        <xdr:cNvPicPr>
          <a:picLocks noChangeAspect="1"/>
        </xdr:cNvPicPr>
      </xdr:nvPicPr>
      <xdr:blipFill>
        <a:blip xmlns:r="http://schemas.openxmlformats.org/officeDocument/2006/relationships" r:embed="rId1" cstate="print"/>
        <a:stretch>
          <a:fillRect/>
        </a:stretch>
      </xdr:blipFill>
      <xdr:spPr>
        <a:xfrm>
          <a:off x="609600" y="114300"/>
          <a:ext cx="2157988" cy="719329"/>
        </a:xfrm>
        <a:prstGeom prst="rect">
          <a:avLst/>
        </a:prstGeom>
      </xdr:spPr>
    </xdr:pic>
    <xdr:clientData/>
  </xdr:twoCellAnchor>
  <xdr:twoCellAnchor editAs="oneCell">
    <xdr:from>
      <xdr:col>2</xdr:col>
      <xdr:colOff>4914900</xdr:colOff>
      <xdr:row>0</xdr:row>
      <xdr:rowOff>123825</xdr:rowOff>
    </xdr:from>
    <xdr:to>
      <xdr:col>2</xdr:col>
      <xdr:colOff>7199376</xdr:colOff>
      <xdr:row>4</xdr:row>
      <xdr:rowOff>21717</xdr:rowOff>
    </xdr:to>
    <xdr:pic>
      <xdr:nvPicPr>
        <xdr:cNvPr id="6" name="Picture 5" descr="sign_ logo_rgb.jpg"/>
        <xdr:cNvPicPr>
          <a:picLocks noChangeAspect="1"/>
        </xdr:cNvPicPr>
      </xdr:nvPicPr>
      <xdr:blipFill>
        <a:blip xmlns:r="http://schemas.openxmlformats.org/officeDocument/2006/relationships" r:embed="rId2" cstate="print"/>
        <a:stretch>
          <a:fillRect/>
        </a:stretch>
      </xdr:blipFill>
      <xdr:spPr>
        <a:xfrm>
          <a:off x="5705475" y="123825"/>
          <a:ext cx="2284476" cy="621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152400</xdr:rowOff>
    </xdr:from>
    <xdr:to>
      <xdr:col>4</xdr:col>
      <xdr:colOff>138688</xdr:colOff>
      <xdr:row>4</xdr:row>
      <xdr:rowOff>147829</xdr:rowOff>
    </xdr:to>
    <xdr:pic>
      <xdr:nvPicPr>
        <xdr:cNvPr id="2" name="Picture 1" descr="HISlogo.png"/>
        <xdr:cNvPicPr>
          <a:picLocks noChangeAspect="1"/>
        </xdr:cNvPicPr>
      </xdr:nvPicPr>
      <xdr:blipFill>
        <a:blip xmlns:r="http://schemas.openxmlformats.org/officeDocument/2006/relationships" r:embed="rId1" cstate="print"/>
        <a:stretch>
          <a:fillRect/>
        </a:stretch>
      </xdr:blipFill>
      <xdr:spPr>
        <a:xfrm>
          <a:off x="419100" y="152400"/>
          <a:ext cx="2157988" cy="719329"/>
        </a:xfrm>
        <a:prstGeom prst="rect">
          <a:avLst/>
        </a:prstGeom>
      </xdr:spPr>
    </xdr:pic>
    <xdr:clientData/>
  </xdr:twoCellAnchor>
  <xdr:twoCellAnchor editAs="oneCell">
    <xdr:from>
      <xdr:col>0</xdr:col>
      <xdr:colOff>581026</xdr:colOff>
      <xdr:row>7</xdr:row>
      <xdr:rowOff>47625</xdr:rowOff>
    </xdr:from>
    <xdr:to>
      <xdr:col>11</xdr:col>
      <xdr:colOff>9526</xdr:colOff>
      <xdr:row>53</xdr:row>
      <xdr:rowOff>28575</xdr:rowOff>
    </xdr:to>
    <xdr:pic>
      <xdr:nvPicPr>
        <xdr:cNvPr id="6151" name="Picture 7"/>
        <xdr:cNvPicPr>
          <a:picLocks noChangeAspect="1" noChangeArrowheads="1"/>
        </xdr:cNvPicPr>
      </xdr:nvPicPr>
      <xdr:blipFill>
        <a:blip xmlns:r="http://schemas.openxmlformats.org/officeDocument/2006/relationships" r:embed="rId2" cstate="print"/>
        <a:srcRect l="31927" t="8982" r="34896" b="10278"/>
        <a:stretch>
          <a:fillRect/>
        </a:stretch>
      </xdr:blipFill>
      <xdr:spPr bwMode="auto">
        <a:xfrm>
          <a:off x="581026" y="1476375"/>
          <a:ext cx="6134100" cy="8305800"/>
        </a:xfrm>
        <a:prstGeom prst="rect">
          <a:avLst/>
        </a:prstGeom>
        <a:noFill/>
        <a:ln w="1">
          <a:noFill/>
          <a:miter lim="800000"/>
          <a:headEnd/>
          <a:tailEnd type="none" w="med" len="med"/>
        </a:ln>
        <a:effectLst/>
      </xdr:spPr>
    </xdr:pic>
    <xdr:clientData/>
  </xdr:twoCellAnchor>
  <xdr:twoCellAnchor editAs="oneCell">
    <xdr:from>
      <xdr:col>7</xdr:col>
      <xdr:colOff>190499</xdr:colOff>
      <xdr:row>0</xdr:row>
      <xdr:rowOff>161925</xdr:rowOff>
    </xdr:from>
    <xdr:to>
      <xdr:col>10</xdr:col>
      <xdr:colOff>560450</xdr:colOff>
      <xdr:row>4</xdr:row>
      <xdr:rowOff>59817</xdr:rowOff>
    </xdr:to>
    <xdr:pic>
      <xdr:nvPicPr>
        <xdr:cNvPr id="8" name="Picture 7" descr="sign_ logo_rgb.jpg"/>
        <xdr:cNvPicPr>
          <a:picLocks noChangeAspect="1"/>
        </xdr:cNvPicPr>
      </xdr:nvPicPr>
      <xdr:blipFill>
        <a:blip xmlns:r="http://schemas.openxmlformats.org/officeDocument/2006/relationships" r:embed="rId3" cstate="print"/>
        <a:stretch>
          <a:fillRect/>
        </a:stretch>
      </xdr:blipFill>
      <xdr:spPr>
        <a:xfrm>
          <a:off x="4457699" y="161925"/>
          <a:ext cx="2198751" cy="6217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243463</xdr:colOff>
      <xdr:row>2</xdr:row>
      <xdr:rowOff>224029</xdr:rowOff>
    </xdr:to>
    <xdr:pic>
      <xdr:nvPicPr>
        <xdr:cNvPr id="2" name="Picture 1" descr="HISlogo.png"/>
        <xdr:cNvPicPr>
          <a:picLocks noChangeAspect="1"/>
        </xdr:cNvPicPr>
      </xdr:nvPicPr>
      <xdr:blipFill>
        <a:blip xmlns:r="http://schemas.openxmlformats.org/officeDocument/2006/relationships" r:embed="rId1" cstate="print"/>
        <a:stretch>
          <a:fillRect/>
        </a:stretch>
      </xdr:blipFill>
      <xdr:spPr>
        <a:xfrm>
          <a:off x="0" y="0"/>
          <a:ext cx="2157988" cy="719329"/>
        </a:xfrm>
        <a:prstGeom prst="rect">
          <a:avLst/>
        </a:prstGeom>
      </xdr:spPr>
    </xdr:pic>
    <xdr:clientData/>
  </xdr:twoCellAnchor>
  <xdr:twoCellAnchor editAs="oneCell">
    <xdr:from>
      <xdr:col>20</xdr:col>
      <xdr:colOff>761999</xdr:colOff>
      <xdr:row>0</xdr:row>
      <xdr:rowOff>66675</xdr:rowOff>
    </xdr:from>
    <xdr:to>
      <xdr:col>26</xdr:col>
      <xdr:colOff>36575</xdr:colOff>
      <xdr:row>2</xdr:row>
      <xdr:rowOff>193167</xdr:rowOff>
    </xdr:to>
    <xdr:pic>
      <xdr:nvPicPr>
        <xdr:cNvPr id="7" name="Picture 6" descr="sign_ logo_rgb.jpg"/>
        <xdr:cNvPicPr>
          <a:picLocks noChangeAspect="1"/>
        </xdr:cNvPicPr>
      </xdr:nvPicPr>
      <xdr:blipFill>
        <a:blip xmlns:r="http://schemas.openxmlformats.org/officeDocument/2006/relationships" r:embed="rId2" cstate="print"/>
        <a:stretch>
          <a:fillRect/>
        </a:stretch>
      </xdr:blipFill>
      <xdr:spPr>
        <a:xfrm>
          <a:off x="14344649" y="66675"/>
          <a:ext cx="2427351" cy="6217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157738</xdr:colOff>
      <xdr:row>4</xdr:row>
      <xdr:rowOff>176404</xdr:rowOff>
    </xdr:to>
    <xdr:pic>
      <xdr:nvPicPr>
        <xdr:cNvPr id="4" name="Picture 3" descr="HISlogo.png"/>
        <xdr:cNvPicPr>
          <a:picLocks noChangeAspect="1"/>
        </xdr:cNvPicPr>
      </xdr:nvPicPr>
      <xdr:blipFill>
        <a:blip xmlns:r="http://schemas.openxmlformats.org/officeDocument/2006/relationships" r:embed="rId1" cstate="print"/>
        <a:stretch>
          <a:fillRect/>
        </a:stretch>
      </xdr:blipFill>
      <xdr:spPr>
        <a:xfrm>
          <a:off x="180975" y="180975"/>
          <a:ext cx="2157988" cy="719329"/>
        </a:xfrm>
        <a:prstGeom prst="rect">
          <a:avLst/>
        </a:prstGeom>
      </xdr:spPr>
    </xdr:pic>
    <xdr:clientData/>
  </xdr:twoCellAnchor>
  <xdr:twoCellAnchor editAs="oneCell">
    <xdr:from>
      <xdr:col>2</xdr:col>
      <xdr:colOff>819150</xdr:colOff>
      <xdr:row>0</xdr:row>
      <xdr:rowOff>152400</xdr:rowOff>
    </xdr:from>
    <xdr:to>
      <xdr:col>5</xdr:col>
      <xdr:colOff>27051</xdr:colOff>
      <xdr:row>4</xdr:row>
      <xdr:rowOff>50292</xdr:rowOff>
    </xdr:to>
    <xdr:pic>
      <xdr:nvPicPr>
        <xdr:cNvPr id="8" name="Picture 7" descr="sign_ logo_rgb.jpg"/>
        <xdr:cNvPicPr>
          <a:picLocks noChangeAspect="1"/>
        </xdr:cNvPicPr>
      </xdr:nvPicPr>
      <xdr:blipFill>
        <a:blip xmlns:r="http://schemas.openxmlformats.org/officeDocument/2006/relationships" r:embed="rId2" cstate="print"/>
        <a:stretch>
          <a:fillRect/>
        </a:stretch>
      </xdr:blipFill>
      <xdr:spPr>
        <a:xfrm>
          <a:off x="3000375" y="152400"/>
          <a:ext cx="2627376" cy="6217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0</xdr:row>
      <xdr:rowOff>152400</xdr:rowOff>
    </xdr:from>
    <xdr:to>
      <xdr:col>2</xdr:col>
      <xdr:colOff>2196088</xdr:colOff>
      <xdr:row>4</xdr:row>
      <xdr:rowOff>71629</xdr:rowOff>
    </xdr:to>
    <xdr:pic>
      <xdr:nvPicPr>
        <xdr:cNvPr id="2" name="Picture 1" descr="HISlogo.png"/>
        <xdr:cNvPicPr>
          <a:picLocks noChangeAspect="1"/>
        </xdr:cNvPicPr>
      </xdr:nvPicPr>
      <xdr:blipFill>
        <a:blip xmlns:r="http://schemas.openxmlformats.org/officeDocument/2006/relationships" r:embed="rId1" cstate="print"/>
        <a:stretch>
          <a:fillRect/>
        </a:stretch>
      </xdr:blipFill>
      <xdr:spPr>
        <a:xfrm>
          <a:off x="771525" y="152400"/>
          <a:ext cx="2157988" cy="719329"/>
        </a:xfrm>
        <a:prstGeom prst="rect">
          <a:avLst/>
        </a:prstGeom>
      </xdr:spPr>
    </xdr:pic>
    <xdr:clientData/>
  </xdr:twoCellAnchor>
  <xdr:twoCellAnchor editAs="oneCell">
    <xdr:from>
      <xdr:col>4</xdr:col>
      <xdr:colOff>123825</xdr:colOff>
      <xdr:row>1</xdr:row>
      <xdr:rowOff>19050</xdr:rowOff>
    </xdr:from>
    <xdr:to>
      <xdr:col>6</xdr:col>
      <xdr:colOff>27051</xdr:colOff>
      <xdr:row>4</xdr:row>
      <xdr:rowOff>40767</xdr:rowOff>
    </xdr:to>
    <xdr:pic>
      <xdr:nvPicPr>
        <xdr:cNvPr id="7" name="Picture 6" descr="sign_ logo_rgb.jpg"/>
        <xdr:cNvPicPr>
          <a:picLocks noChangeAspect="1"/>
        </xdr:cNvPicPr>
      </xdr:nvPicPr>
      <xdr:blipFill>
        <a:blip xmlns:r="http://schemas.openxmlformats.org/officeDocument/2006/relationships" r:embed="rId2" cstate="print"/>
        <a:stretch>
          <a:fillRect/>
        </a:stretch>
      </xdr:blipFill>
      <xdr:spPr>
        <a:xfrm>
          <a:off x="7591425" y="219075"/>
          <a:ext cx="2627376" cy="6217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2157988</xdr:colOff>
      <xdr:row>4</xdr:row>
      <xdr:rowOff>176404</xdr:rowOff>
    </xdr:to>
    <xdr:pic>
      <xdr:nvPicPr>
        <xdr:cNvPr id="2" name="Picture 1" descr="HISlogo.png"/>
        <xdr:cNvPicPr>
          <a:picLocks noChangeAspect="1"/>
        </xdr:cNvPicPr>
      </xdr:nvPicPr>
      <xdr:blipFill>
        <a:blip xmlns:r="http://schemas.openxmlformats.org/officeDocument/2006/relationships" r:embed="rId1" cstate="print"/>
        <a:stretch>
          <a:fillRect/>
        </a:stretch>
      </xdr:blipFill>
      <xdr:spPr>
        <a:xfrm>
          <a:off x="0" y="180975"/>
          <a:ext cx="2157988" cy="719329"/>
        </a:xfrm>
        <a:prstGeom prst="rect">
          <a:avLst/>
        </a:prstGeom>
      </xdr:spPr>
    </xdr:pic>
    <xdr:clientData/>
  </xdr:twoCellAnchor>
  <xdr:twoCellAnchor editAs="oneCell">
    <xdr:from>
      <xdr:col>1</xdr:col>
      <xdr:colOff>942975</xdr:colOff>
      <xdr:row>1</xdr:row>
      <xdr:rowOff>19050</xdr:rowOff>
    </xdr:from>
    <xdr:to>
      <xdr:col>3</xdr:col>
      <xdr:colOff>17526</xdr:colOff>
      <xdr:row>4</xdr:row>
      <xdr:rowOff>97917</xdr:rowOff>
    </xdr:to>
    <xdr:pic>
      <xdr:nvPicPr>
        <xdr:cNvPr id="8" name="Picture 7" descr="sign_ logo_rgb.jpg"/>
        <xdr:cNvPicPr>
          <a:picLocks noChangeAspect="1"/>
        </xdr:cNvPicPr>
      </xdr:nvPicPr>
      <xdr:blipFill>
        <a:blip xmlns:r="http://schemas.openxmlformats.org/officeDocument/2006/relationships" r:embed="rId2" cstate="print"/>
        <a:stretch>
          <a:fillRect/>
        </a:stretch>
      </xdr:blipFill>
      <xdr:spPr>
        <a:xfrm>
          <a:off x="5019675" y="200025"/>
          <a:ext cx="2627376" cy="6217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itleP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sting\Familial%20breast%20cancer\Familial%20Breast%20Cancer%20Costing%20Template%2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susoutput2\wtsa\DATAPROD\PROJECTN\2004_based\Sub-national%20projections\Publish\Booklet\BIRTHS%20chart%20%25%20chan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Page"/>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Front cover"/>
      <sheetName val="2.Guide "/>
      <sheetName val="Breast cancer registrations '11"/>
      <sheetName val="Breast cancer registrations ISD"/>
      <sheetName val="Population Table 2b"/>
      <sheetName val="3. Population selection sheet"/>
      <sheetName val="4.Assumptions and pathways"/>
      <sheetName val="5.Unit costs"/>
      <sheetName val="6. Costing template"/>
      <sheetName val="7. Cost summary"/>
      <sheetName val="Tables for report"/>
      <sheetName val="Recommendations"/>
    </sheetNames>
    <sheetDataSet>
      <sheetData sheetId="0" refreshError="1"/>
      <sheetData sheetId="1"/>
      <sheetData sheetId="2" refreshError="1"/>
      <sheetData sheetId="3" refreshError="1"/>
      <sheetData sheetId="4" refreshError="1"/>
      <sheetData sheetId="5" refreshError="1"/>
      <sheetData sheetId="6">
        <row r="8">
          <cell r="G8">
            <v>0</v>
          </cell>
          <cell r="H8">
            <v>0</v>
          </cell>
          <cell r="I8">
            <v>0</v>
          </cell>
          <cell r="U8">
            <v>34363</v>
          </cell>
          <cell r="V8">
            <v>362505</v>
          </cell>
          <cell r="W8">
            <v>35044</v>
          </cell>
        </row>
        <row r="10">
          <cell r="J10">
            <v>0</v>
          </cell>
          <cell r="K10">
            <v>0</v>
          </cell>
          <cell r="X10">
            <v>333531</v>
          </cell>
          <cell r="Y10">
            <v>35259</v>
          </cell>
        </row>
        <row r="12">
          <cell r="L12">
            <v>0</v>
          </cell>
          <cell r="M12">
            <v>0</v>
          </cell>
          <cell r="Z12">
            <v>410039</v>
          </cell>
          <cell r="AA12">
            <v>42321</v>
          </cell>
        </row>
        <row r="14">
          <cell r="N14">
            <v>0</v>
          </cell>
          <cell r="O14">
            <v>0</v>
          </cell>
          <cell r="AB14">
            <v>369556</v>
          </cell>
          <cell r="AC14">
            <v>33103</v>
          </cell>
        </row>
        <row r="16">
          <cell r="P16">
            <v>0</v>
          </cell>
          <cell r="AD16">
            <v>313239</v>
          </cell>
        </row>
        <row r="18">
          <cell r="Q18">
            <v>0</v>
          </cell>
          <cell r="R18">
            <v>0</v>
          </cell>
          <cell r="AE18">
            <v>27285</v>
          </cell>
          <cell r="AF18">
            <v>374397</v>
          </cell>
        </row>
        <row r="21">
          <cell r="C21">
            <v>4.6895904884070564E-5</v>
          </cell>
          <cell r="H21">
            <v>0</v>
          </cell>
          <cell r="V21">
            <v>17</v>
          </cell>
        </row>
        <row r="22">
          <cell r="C22">
            <v>4.5273153020258984E-4</v>
          </cell>
          <cell r="J22">
            <v>0</v>
          </cell>
          <cell r="X22">
            <v>151</v>
          </cell>
        </row>
        <row r="23">
          <cell r="C23">
            <v>1.6242357434292835E-3</v>
          </cell>
          <cell r="L23">
            <v>0</v>
          </cell>
          <cell r="Z23">
            <v>666</v>
          </cell>
        </row>
        <row r="24">
          <cell r="C24">
            <v>2.8304235352693504E-3</v>
          </cell>
          <cell r="N24">
            <v>0</v>
          </cell>
          <cell r="AB24">
            <v>1046</v>
          </cell>
        </row>
        <row r="25">
          <cell r="C25">
            <v>3.9299065569740679E-3</v>
          </cell>
          <cell r="P25">
            <v>0</v>
          </cell>
          <cell r="AD25">
            <v>1231</v>
          </cell>
        </row>
        <row r="26">
          <cell r="C26">
            <v>3.9770617820121422E-3</v>
          </cell>
          <cell r="R26">
            <v>0</v>
          </cell>
          <cell r="AF26">
            <v>1489</v>
          </cell>
        </row>
        <row r="30">
          <cell r="C30">
            <v>0.27395577395577397</v>
          </cell>
          <cell r="H30">
            <v>0</v>
          </cell>
          <cell r="J30">
            <v>0</v>
          </cell>
          <cell r="L30">
            <v>0</v>
          </cell>
          <cell r="N30">
            <v>0</v>
          </cell>
          <cell r="P30">
            <v>0</v>
          </cell>
          <cell r="R30">
            <v>0</v>
          </cell>
          <cell r="V30">
            <v>5</v>
          </cell>
          <cell r="X30">
            <v>42</v>
          </cell>
          <cell r="Z30">
            <v>183</v>
          </cell>
          <cell r="AB30">
            <v>287</v>
          </cell>
          <cell r="AD30">
            <v>338</v>
          </cell>
          <cell r="AF30">
            <v>408</v>
          </cell>
        </row>
        <row r="34">
          <cell r="X34">
            <v>1263</v>
          </cell>
        </row>
        <row r="46">
          <cell r="K46">
            <v>0</v>
          </cell>
          <cell r="O46">
            <v>0</v>
          </cell>
          <cell r="Y46">
            <v>21.689441067036199</v>
          </cell>
          <cell r="Z46">
            <v>502</v>
          </cell>
          <cell r="AB46">
            <v>535</v>
          </cell>
          <cell r="AC46">
            <v>48.037523634791732</v>
          </cell>
        </row>
        <row r="47">
          <cell r="G47">
            <v>0</v>
          </cell>
          <cell r="K47">
            <v>0</v>
          </cell>
          <cell r="M47">
            <v>0</v>
          </cell>
          <cell r="O47">
            <v>0</v>
          </cell>
          <cell r="Q47">
            <v>0</v>
          </cell>
          <cell r="U47">
            <v>0.19002403077437774</v>
          </cell>
          <cell r="V47">
            <v>2</v>
          </cell>
          <cell r="X47">
            <v>11</v>
          </cell>
          <cell r="Y47">
            <v>1.0757788905994909</v>
          </cell>
          <cell r="Z47">
            <v>25</v>
          </cell>
          <cell r="AA47">
            <v>2.5781458282778669</v>
          </cell>
          <cell r="AB47">
            <v>27</v>
          </cell>
          <cell r="AC47">
            <v>2.3826226652526965</v>
          </cell>
          <cell r="AD47">
            <v>14</v>
          </cell>
          <cell r="AE47">
            <v>1.174877420100185</v>
          </cell>
        </row>
        <row r="48">
          <cell r="M48">
            <v>0</v>
          </cell>
          <cell r="Q48">
            <v>0</v>
          </cell>
          <cell r="AA48">
            <v>0.64453645706946672</v>
          </cell>
          <cell r="AB48">
            <v>6.75</v>
          </cell>
          <cell r="AD48">
            <v>3.5</v>
          </cell>
          <cell r="AE48">
            <v>0.29371935502504626</v>
          </cell>
        </row>
        <row r="49">
          <cell r="K49">
            <v>0</v>
          </cell>
          <cell r="M49">
            <v>0</v>
          </cell>
          <cell r="Q49">
            <v>0</v>
          </cell>
          <cell r="Y49">
            <v>4.1564184409525788</v>
          </cell>
          <cell r="Z49">
            <v>97</v>
          </cell>
          <cell r="AA49">
            <v>9.9610179728917565</v>
          </cell>
          <cell r="AB49">
            <v>103</v>
          </cell>
          <cell r="AD49">
            <v>53</v>
          </cell>
          <cell r="AE49">
            <v>4.5392991231143505</v>
          </cell>
        </row>
        <row r="50">
          <cell r="M50">
            <v>0</v>
          </cell>
          <cell r="Q50">
            <v>0</v>
          </cell>
          <cell r="AB50">
            <v>25.75</v>
          </cell>
          <cell r="AD50">
            <v>13.25</v>
          </cell>
        </row>
        <row r="54">
          <cell r="I54">
            <v>0</v>
          </cell>
          <cell r="M54">
            <v>0</v>
          </cell>
          <cell r="W54">
            <v>4.698901085117468</v>
          </cell>
          <cell r="X54">
            <v>48.293498720980729</v>
          </cell>
          <cell r="Z54">
            <v>246.39397654071726</v>
          </cell>
          <cell r="AA54">
            <v>25.378823269614575</v>
          </cell>
        </row>
      </sheetData>
      <sheetData sheetId="7">
        <row r="12">
          <cell r="E12">
            <v>950</v>
          </cell>
        </row>
        <row r="17">
          <cell r="D17">
            <v>53</v>
          </cell>
        </row>
        <row r="18">
          <cell r="D18">
            <v>250</v>
          </cell>
        </row>
        <row r="25">
          <cell r="D25">
            <v>2</v>
          </cell>
        </row>
      </sheetData>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Lisa.wilson3@nhs.ne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37"/>
  <sheetViews>
    <sheetView tabSelected="1" workbookViewId="0">
      <selection activeCell="L10" sqref="L10"/>
    </sheetView>
  </sheetViews>
  <sheetFormatPr defaultRowHeight="15"/>
  <cols>
    <col min="1" max="16384" width="9.140625" style="1"/>
  </cols>
  <sheetData>
    <row r="1" spans="1:8">
      <c r="A1"/>
      <c r="B1"/>
      <c r="C1"/>
      <c r="D1"/>
      <c r="E1"/>
      <c r="F1"/>
      <c r="G1"/>
      <c r="H1"/>
    </row>
    <row r="2" spans="1:8">
      <c r="A2"/>
      <c r="B2"/>
      <c r="C2"/>
      <c r="D2"/>
      <c r="E2"/>
      <c r="F2"/>
      <c r="G2"/>
      <c r="H2"/>
    </row>
    <row r="3" spans="1:8">
      <c r="A3"/>
      <c r="B3"/>
      <c r="C3"/>
      <c r="D3"/>
      <c r="E3"/>
      <c r="F3"/>
      <c r="G3"/>
      <c r="H3"/>
    </row>
    <row r="4" spans="1:8">
      <c r="A4"/>
      <c r="B4"/>
      <c r="C4"/>
      <c r="D4"/>
      <c r="E4"/>
      <c r="F4"/>
      <c r="G4"/>
      <c r="H4"/>
    </row>
    <row r="5" spans="1:8">
      <c r="A5"/>
      <c r="B5"/>
      <c r="C5"/>
      <c r="D5"/>
      <c r="E5"/>
      <c r="F5"/>
      <c r="G5"/>
      <c r="H5"/>
    </row>
    <row r="6" spans="1:8">
      <c r="A6"/>
      <c r="B6"/>
      <c r="C6"/>
      <c r="D6"/>
      <c r="E6"/>
      <c r="F6"/>
      <c r="G6"/>
      <c r="H6"/>
    </row>
    <row r="7" spans="1:8">
      <c r="A7"/>
      <c r="B7"/>
      <c r="C7"/>
      <c r="D7"/>
      <c r="E7"/>
      <c r="F7"/>
      <c r="G7"/>
      <c r="H7"/>
    </row>
    <row r="8" spans="1:8">
      <c r="A8"/>
      <c r="B8"/>
      <c r="C8"/>
      <c r="D8"/>
      <c r="E8"/>
      <c r="F8"/>
      <c r="G8"/>
      <c r="H8"/>
    </row>
    <row r="9" spans="1:8">
      <c r="A9"/>
      <c r="B9"/>
      <c r="C9"/>
      <c r="D9"/>
      <c r="E9"/>
      <c r="F9"/>
      <c r="G9"/>
      <c r="H9"/>
    </row>
    <row r="10" spans="1:8">
      <c r="A10"/>
      <c r="B10"/>
      <c r="C10"/>
      <c r="D10"/>
      <c r="E10"/>
      <c r="F10"/>
      <c r="G10"/>
      <c r="H10"/>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sheetData>
  <sheetProtection password="F3BA"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C7:C42"/>
  <sheetViews>
    <sheetView showGridLines="0" showRowColHeaders="0" workbookViewId="0">
      <selection activeCell="I28" sqref="I28"/>
    </sheetView>
  </sheetViews>
  <sheetFormatPr defaultRowHeight="14.25"/>
  <cols>
    <col min="1" max="1" width="2.7109375" style="91" customWidth="1"/>
    <col min="2" max="2" width="9.140625" style="91"/>
    <col min="3" max="3" width="108.42578125" style="91" customWidth="1"/>
    <col min="4" max="16384" width="9.140625" style="91"/>
  </cols>
  <sheetData>
    <row r="7" spans="3:3" s="89" customFormat="1" ht="38.25" customHeight="1">
      <c r="C7" s="88" t="s">
        <v>153</v>
      </c>
    </row>
    <row r="8" spans="3:3" ht="15" hidden="1" customHeight="1">
      <c r="C8" s="90"/>
    </row>
    <row r="9" spans="3:3" s="93" customFormat="1" ht="15">
      <c r="C9" s="92" t="s">
        <v>135</v>
      </c>
    </row>
    <row r="10" spans="3:3" ht="57">
      <c r="C10" s="94" t="s">
        <v>157</v>
      </c>
    </row>
    <row r="11" spans="3:3" ht="9.9499999999999993" customHeight="1">
      <c r="C11" s="94"/>
    </row>
    <row r="12" spans="3:3" ht="15">
      <c r="C12" s="92" t="s">
        <v>136</v>
      </c>
    </row>
    <row r="13" spans="3:3" ht="57.75">
      <c r="C13" s="94" t="s">
        <v>142</v>
      </c>
    </row>
    <row r="14" spans="3:3" ht="42.75">
      <c r="C14" s="95" t="s">
        <v>143</v>
      </c>
    </row>
    <row r="15" spans="3:3" ht="28.5">
      <c r="C15" s="94" t="s">
        <v>147</v>
      </c>
    </row>
    <row r="16" spans="3:3" ht="7.5" customHeight="1">
      <c r="C16" s="96"/>
    </row>
    <row r="17" spans="3:3" ht="15.75" customHeight="1">
      <c r="C17" s="92" t="s">
        <v>145</v>
      </c>
    </row>
    <row r="18" spans="3:3" ht="7.5" customHeight="1">
      <c r="C18" s="97"/>
    </row>
    <row r="19" spans="3:3" ht="15">
      <c r="C19" s="92" t="s">
        <v>144</v>
      </c>
    </row>
    <row r="20" spans="3:3">
      <c r="C20" s="98" t="s">
        <v>146</v>
      </c>
    </row>
    <row r="21" spans="3:3" ht="7.5" customHeight="1">
      <c r="C21" s="96"/>
    </row>
    <row r="22" spans="3:3" ht="15.75" customHeight="1">
      <c r="C22" s="86" t="s">
        <v>131</v>
      </c>
    </row>
    <row r="23" spans="3:3" ht="15.75" customHeight="1">
      <c r="C23" s="99" t="s">
        <v>148</v>
      </c>
    </row>
    <row r="24" spans="3:3" ht="7.5" customHeight="1">
      <c r="C24" s="99"/>
    </row>
    <row r="25" spans="3:3" ht="15">
      <c r="C25" s="87" t="s">
        <v>158</v>
      </c>
    </row>
    <row r="26" spans="3:3" ht="42.75">
      <c r="C26" s="100" t="s">
        <v>159</v>
      </c>
    </row>
    <row r="27" spans="3:3" ht="7.5" customHeight="1">
      <c r="C27" s="100"/>
    </row>
    <row r="28" spans="3:3" ht="15">
      <c r="C28" s="87" t="s">
        <v>137</v>
      </c>
    </row>
    <row r="29" spans="3:3" ht="71.25">
      <c r="C29" s="100" t="s">
        <v>149</v>
      </c>
    </row>
    <row r="30" spans="3:3" ht="7.5" customHeight="1">
      <c r="C30" s="100"/>
    </row>
    <row r="31" spans="3:3" ht="15">
      <c r="C31" s="87" t="s">
        <v>134</v>
      </c>
    </row>
    <row r="32" spans="3:3" ht="220.5">
      <c r="C32" s="101" t="s">
        <v>160</v>
      </c>
    </row>
    <row r="33" spans="3:3" ht="7.5" customHeight="1">
      <c r="C33" s="101"/>
    </row>
    <row r="34" spans="3:3" ht="15">
      <c r="C34" s="87" t="s">
        <v>139</v>
      </c>
    </row>
    <row r="35" spans="3:3" ht="57">
      <c r="C35" s="98" t="s">
        <v>150</v>
      </c>
    </row>
    <row r="36" spans="3:3">
      <c r="C36" s="102"/>
    </row>
    <row r="38" spans="3:3" ht="15">
      <c r="C38" s="103" t="s">
        <v>151</v>
      </c>
    </row>
    <row r="39" spans="3:3" ht="28.5">
      <c r="C39" s="104" t="s">
        <v>152</v>
      </c>
    </row>
    <row r="40" spans="3:3">
      <c r="C40" s="91" t="s">
        <v>140</v>
      </c>
    </row>
    <row r="41" spans="3:3">
      <c r="C41" s="91" t="s">
        <v>161</v>
      </c>
    </row>
    <row r="42" spans="3:3" ht="15">
      <c r="C42" s="72" t="s">
        <v>141</v>
      </c>
    </row>
  </sheetData>
  <sheetProtection password="F3BA" sheet="1" objects="1" scenarios="1"/>
  <hyperlinks>
    <hyperlink ref="C25" location="'Select local population'!A1" display="Select local Population"/>
    <hyperlink ref="C28" location="'Unit costs'!A1" display="Unit costs"/>
    <hyperlink ref="C31" location="'Costing template'!A1" display="Costing template"/>
    <hyperlink ref="C34" location="'Cost summary'!A1" display="Cost summary"/>
    <hyperlink ref="C22" location="Recommendations!A1" display="Recommendations"/>
    <hyperlink ref="C42" r:id="rId1"/>
  </hyperlinks>
  <pageMargins left="0.70866141732283472" right="0.70866141732283472" top="0.74803149606299213" bottom="0.74803149606299213" header="0.31496062992125984" footer="0.31496062992125984"/>
  <pageSetup paperSize="9" orientation="portrait" r:id="rId2"/>
  <drawing r:id="rId3"/>
</worksheet>
</file>

<file path=xl/worksheets/sheet3.xml><?xml version="1.0" encoding="utf-8"?>
<worksheet xmlns="http://schemas.openxmlformats.org/spreadsheetml/2006/main" xmlns:r="http://schemas.openxmlformats.org/officeDocument/2006/relationships">
  <dimension ref="B6:K7"/>
  <sheetViews>
    <sheetView workbookViewId="0"/>
  </sheetViews>
  <sheetFormatPr defaultRowHeight="14.25"/>
  <cols>
    <col min="1" max="16384" width="9.140625" style="2"/>
  </cols>
  <sheetData>
    <row r="6" spans="2:11" ht="15" thickBot="1"/>
    <row r="7" spans="2:11" ht="26.25" customHeight="1" thickBot="1">
      <c r="B7" s="243" t="s">
        <v>131</v>
      </c>
      <c r="C7" s="244"/>
      <c r="D7" s="244"/>
      <c r="E7" s="244"/>
      <c r="F7" s="244"/>
      <c r="G7" s="244"/>
      <c r="H7" s="244"/>
      <c r="I7" s="244"/>
      <c r="J7" s="244"/>
      <c r="K7" s="245"/>
    </row>
  </sheetData>
  <sheetProtection password="F3BA" sheet="1" objects="1" scenarios="1"/>
  <mergeCells count="1">
    <mergeCell ref="B7:K7"/>
  </mergeCells>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AB26"/>
  <sheetViews>
    <sheetView showGridLines="0" showRowColHeaders="0" workbookViewId="0">
      <pane xSplit="1" ySplit="7" topLeftCell="B8" activePane="bottomRight" state="frozen"/>
      <selection pane="topRight" activeCell="B1" sqref="B1"/>
      <selection pane="bottomLeft" activeCell="A10" sqref="A10"/>
      <selection pane="bottomRight" activeCell="A5" sqref="A5"/>
    </sheetView>
  </sheetViews>
  <sheetFormatPr defaultColWidth="15.7109375" defaultRowHeight="19.5" customHeight="1"/>
  <cols>
    <col min="1" max="1" width="28.7109375" style="105" customWidth="1"/>
    <col min="2" max="2" width="13.7109375" style="106" customWidth="1"/>
    <col min="3" max="3" width="10.7109375" style="106" customWidth="1"/>
    <col min="4" max="4" width="8.5703125" style="106" customWidth="1"/>
    <col min="5" max="5" width="12.7109375" style="106" customWidth="1"/>
    <col min="6" max="6" width="11" style="108" customWidth="1"/>
    <col min="7" max="7" width="15.7109375" style="108" hidden="1" customWidth="1"/>
    <col min="8" max="8" width="12.42578125" style="108" customWidth="1"/>
    <col min="9" max="9" width="13" style="108" customWidth="1"/>
    <col min="10" max="10" width="11.5703125" style="108" hidden="1" customWidth="1"/>
    <col min="11" max="12" width="11.42578125" style="108" customWidth="1"/>
    <col min="13" max="13" width="15.7109375" style="107"/>
    <col min="14" max="14" width="15.7109375" style="106"/>
    <col min="15" max="16" width="11.5703125" style="108" hidden="1" customWidth="1"/>
    <col min="17" max="17" width="15.7109375" style="107"/>
    <col min="18" max="19" width="11.42578125" style="107" customWidth="1"/>
    <col min="20" max="20" width="0" style="107" hidden="1" customWidth="1"/>
    <col min="21" max="21" width="11.5703125" style="108" customWidth="1"/>
    <col min="22" max="22" width="24.140625" style="108" customWidth="1"/>
    <col min="23" max="23" width="11.5703125" style="108" customWidth="1"/>
    <col min="24" max="25" width="11.5703125" style="108" hidden="1" customWidth="1"/>
    <col min="26" max="26" width="22" style="108" hidden="1" customWidth="1"/>
    <col min="27" max="27" width="29.85546875" style="108" bestFit="1" customWidth="1"/>
    <col min="28" max="16384" width="15.7109375" style="107"/>
  </cols>
  <sheetData>
    <row r="1" spans="1:28" ht="19.5" customHeight="1">
      <c r="C1" s="251" t="s">
        <v>138</v>
      </c>
      <c r="D1" s="251"/>
      <c r="E1" s="251"/>
      <c r="F1" s="251"/>
      <c r="G1" s="251"/>
      <c r="H1" s="251"/>
      <c r="I1" s="251"/>
      <c r="J1" s="251"/>
      <c r="K1" s="251"/>
      <c r="L1" s="251"/>
      <c r="M1" s="251"/>
      <c r="N1" s="251"/>
      <c r="O1" s="251"/>
      <c r="P1" s="251"/>
      <c r="Q1" s="251"/>
      <c r="R1" s="251"/>
      <c r="S1" s="251"/>
    </row>
    <row r="2" spans="1:28" ht="19.5" customHeight="1">
      <c r="C2" s="251"/>
      <c r="D2" s="251"/>
      <c r="E2" s="251"/>
      <c r="F2" s="251"/>
      <c r="G2" s="251"/>
      <c r="H2" s="251"/>
      <c r="I2" s="251"/>
      <c r="J2" s="251"/>
      <c r="K2" s="251"/>
      <c r="L2" s="251"/>
      <c r="M2" s="251"/>
      <c r="N2" s="251"/>
      <c r="O2" s="251"/>
      <c r="P2" s="251"/>
      <c r="Q2" s="251"/>
      <c r="R2" s="251"/>
      <c r="S2" s="251"/>
    </row>
    <row r="3" spans="1:28" ht="19.5" customHeight="1">
      <c r="A3" s="109"/>
      <c r="B3" s="110"/>
      <c r="C3" s="251"/>
      <c r="D3" s="251"/>
      <c r="E3" s="251"/>
      <c r="F3" s="251"/>
      <c r="G3" s="251"/>
      <c r="H3" s="251"/>
      <c r="I3" s="251"/>
      <c r="J3" s="251"/>
      <c r="K3" s="251"/>
      <c r="L3" s="251"/>
      <c r="M3" s="251"/>
      <c r="N3" s="251"/>
      <c r="O3" s="251"/>
      <c r="P3" s="251"/>
      <c r="Q3" s="251"/>
      <c r="R3" s="251"/>
      <c r="S3" s="251"/>
      <c r="T3" s="111"/>
      <c r="U3" s="112"/>
      <c r="V3" s="112"/>
      <c r="W3" s="112"/>
      <c r="X3" s="112"/>
      <c r="Y3" s="112"/>
      <c r="Z3" s="112"/>
      <c r="AA3" s="112"/>
      <c r="AB3" s="111"/>
    </row>
    <row r="4" spans="1:28" ht="19.5" customHeight="1" thickBot="1">
      <c r="A4" s="109"/>
      <c r="B4" s="110"/>
      <c r="C4" s="110"/>
      <c r="D4" s="110"/>
      <c r="E4" s="110"/>
      <c r="F4" s="112"/>
      <c r="G4" s="112"/>
      <c r="H4" s="112"/>
      <c r="I4" s="112"/>
      <c r="J4" s="112"/>
      <c r="K4" s="112"/>
      <c r="L4" s="112"/>
      <c r="M4" s="111"/>
      <c r="N4" s="110"/>
      <c r="O4" s="112"/>
      <c r="P4" s="112"/>
      <c r="Q4" s="111"/>
      <c r="R4" s="111"/>
      <c r="S4" s="111"/>
      <c r="T4" s="111"/>
      <c r="U4" s="112"/>
      <c r="V4" s="112"/>
      <c r="W4" s="112"/>
      <c r="X4" s="112"/>
      <c r="Y4" s="112"/>
      <c r="Z4" s="112"/>
      <c r="AA4" s="112"/>
      <c r="AB4" s="111"/>
    </row>
    <row r="5" spans="1:28" ht="33.75" customHeight="1" thickBot="1">
      <c r="A5" s="80" t="s">
        <v>162</v>
      </c>
      <c r="B5" s="248"/>
      <c r="C5" s="249"/>
      <c r="D5" s="250"/>
      <c r="E5" s="264" t="s">
        <v>154</v>
      </c>
      <c r="F5" s="265"/>
      <c r="G5" s="265"/>
      <c r="H5" s="265"/>
      <c r="I5" s="265"/>
      <c r="J5" s="265"/>
      <c r="K5" s="265"/>
      <c r="L5" s="265"/>
      <c r="M5" s="265"/>
      <c r="N5" s="265"/>
      <c r="O5" s="265"/>
      <c r="P5" s="266"/>
      <c r="Q5" s="269" t="s">
        <v>164</v>
      </c>
      <c r="R5" s="270"/>
      <c r="S5" s="270"/>
      <c r="T5" s="270"/>
      <c r="U5" s="270"/>
      <c r="V5" s="270"/>
      <c r="W5" s="271"/>
      <c r="X5" s="113"/>
      <c r="Y5" s="113"/>
      <c r="Z5" s="114"/>
      <c r="AA5" s="257"/>
      <c r="AB5" s="111"/>
    </row>
    <row r="6" spans="1:28" s="118" customFormat="1" ht="30" customHeight="1" thickBot="1">
      <c r="A6" s="246" t="s">
        <v>6</v>
      </c>
      <c r="B6" s="252" t="s">
        <v>26</v>
      </c>
      <c r="C6" s="253"/>
      <c r="D6" s="254"/>
      <c r="E6" s="261" t="s">
        <v>1</v>
      </c>
      <c r="F6" s="262"/>
      <c r="G6" s="262"/>
      <c r="H6" s="262"/>
      <c r="I6" s="262"/>
      <c r="J6" s="263"/>
      <c r="K6" s="258" t="s">
        <v>122</v>
      </c>
      <c r="L6" s="259"/>
      <c r="M6" s="259"/>
      <c r="N6" s="259"/>
      <c r="O6" s="259"/>
      <c r="P6" s="260"/>
      <c r="Q6" s="267" t="s">
        <v>1</v>
      </c>
      <c r="R6" s="268"/>
      <c r="S6" s="268"/>
      <c r="T6" s="268"/>
      <c r="U6" s="272" t="s">
        <v>2</v>
      </c>
      <c r="V6" s="273"/>
      <c r="W6" s="274"/>
      <c r="X6" s="115"/>
      <c r="Y6" s="116"/>
      <c r="Z6" s="116"/>
      <c r="AA6" s="257"/>
      <c r="AB6" s="117"/>
    </row>
    <row r="7" spans="1:28" s="118" customFormat="1" ht="90">
      <c r="A7" s="247"/>
      <c r="B7" s="119" t="s">
        <v>24</v>
      </c>
      <c r="C7" s="255" t="s">
        <v>163</v>
      </c>
      <c r="D7" s="256"/>
      <c r="E7" s="120" t="s">
        <v>118</v>
      </c>
      <c r="F7" s="121" t="s">
        <v>105</v>
      </c>
      <c r="G7" s="122" t="s">
        <v>106</v>
      </c>
      <c r="H7" s="121" t="s">
        <v>107</v>
      </c>
      <c r="I7" s="123" t="s">
        <v>108</v>
      </c>
      <c r="J7" s="123" t="s">
        <v>114</v>
      </c>
      <c r="K7" s="124" t="s">
        <v>115</v>
      </c>
      <c r="L7" s="125" t="s">
        <v>110</v>
      </c>
      <c r="M7" s="126" t="s">
        <v>132</v>
      </c>
      <c r="N7" s="127" t="s">
        <v>109</v>
      </c>
      <c r="O7" s="123" t="s">
        <v>112</v>
      </c>
      <c r="P7" s="127" t="s">
        <v>116</v>
      </c>
      <c r="Q7" s="128" t="s">
        <v>155</v>
      </c>
      <c r="R7" s="129" t="s">
        <v>107</v>
      </c>
      <c r="S7" s="125" t="s">
        <v>126</v>
      </c>
      <c r="T7" s="125" t="s">
        <v>111</v>
      </c>
      <c r="U7" s="130" t="s">
        <v>117</v>
      </c>
      <c r="V7" s="125" t="s">
        <v>165</v>
      </c>
      <c r="W7" s="127" t="s">
        <v>156</v>
      </c>
      <c r="X7" s="125" t="s">
        <v>112</v>
      </c>
      <c r="Y7" s="123" t="s">
        <v>116</v>
      </c>
      <c r="Z7" s="127" t="s">
        <v>22</v>
      </c>
      <c r="AA7" s="131"/>
      <c r="AB7" s="117"/>
    </row>
    <row r="8" spans="1:28" s="144" customFormat="1" ht="19.5" customHeight="1">
      <c r="A8" s="132" t="s">
        <v>7</v>
      </c>
      <c r="B8" s="73">
        <v>280</v>
      </c>
      <c r="C8" s="74">
        <v>0.45</v>
      </c>
      <c r="D8" s="75">
        <f>B8*C8</f>
        <v>126</v>
      </c>
      <c r="E8" s="76">
        <v>42</v>
      </c>
      <c r="F8" s="77">
        <v>24</v>
      </c>
      <c r="G8" s="133">
        <v>60</v>
      </c>
      <c r="H8" s="77">
        <v>5</v>
      </c>
      <c r="I8" s="133">
        <f>E8*H8</f>
        <v>210</v>
      </c>
      <c r="J8" s="134">
        <f>(I8/60)*'Unit costs'!$E$16</f>
        <v>1433.2937853107344</v>
      </c>
      <c r="K8" s="77">
        <f>D8-E8</f>
        <v>84</v>
      </c>
      <c r="L8" s="135">
        <f>K8*H8</f>
        <v>420</v>
      </c>
      <c r="M8" s="136">
        <f>ROUNDUP(K8/F8,0)</f>
        <v>4</v>
      </c>
      <c r="N8" s="137">
        <f>M8*H8</f>
        <v>20</v>
      </c>
      <c r="O8" s="134">
        <f>(N8/60)*'Unit costs'!$E$16</f>
        <v>136.50417002959375</v>
      </c>
      <c r="P8" s="138">
        <f>F8*O8</f>
        <v>3276.10008071025</v>
      </c>
      <c r="Q8" s="194">
        <v>0</v>
      </c>
      <c r="R8" s="194">
        <v>15</v>
      </c>
      <c r="S8" s="139">
        <f t="shared" ref="S8" si="0">Q8*R8</f>
        <v>0</v>
      </c>
      <c r="T8" s="140">
        <f>(S8/60)*('Unit costs'!$E$9+'Unit costs'!$E$11)</f>
        <v>0</v>
      </c>
      <c r="U8" s="78">
        <f>B8-Q8</f>
        <v>280</v>
      </c>
      <c r="V8" s="141">
        <f>U8/F8</f>
        <v>11.666666666666666</v>
      </c>
      <c r="W8" s="142">
        <f t="shared" ref="W8" si="1">R8*V8</f>
        <v>175</v>
      </c>
      <c r="X8" s="140">
        <f>(W8/60)*('Unit costs'!$E$9+'Unit costs'!$E$11)</f>
        <v>261.07580037664781</v>
      </c>
      <c r="Y8" s="134">
        <f>X8*F8</f>
        <v>6265.8192090395478</v>
      </c>
      <c r="Z8" s="138">
        <f t="shared" ref="Z8" si="2">P8+Y8</f>
        <v>9541.9192897497978</v>
      </c>
      <c r="AA8" s="139"/>
      <c r="AB8" s="143"/>
    </row>
    <row r="9" spans="1:28" ht="19.5" customHeight="1">
      <c r="A9" s="145" t="s">
        <v>8</v>
      </c>
      <c r="B9" s="146"/>
      <c r="C9" s="147"/>
      <c r="D9" s="148"/>
      <c r="E9" s="149"/>
      <c r="F9" s="150"/>
      <c r="G9" s="151"/>
      <c r="H9" s="150"/>
      <c r="I9" s="151"/>
      <c r="J9" s="152"/>
      <c r="K9" s="150"/>
      <c r="L9" s="153"/>
      <c r="M9" s="154"/>
      <c r="N9" s="155"/>
      <c r="O9" s="151"/>
      <c r="P9" s="148"/>
      <c r="Q9" s="156"/>
      <c r="R9" s="156"/>
      <c r="S9" s="156"/>
      <c r="T9" s="156"/>
      <c r="U9" s="157"/>
      <c r="V9" s="153"/>
      <c r="W9" s="148"/>
      <c r="X9" s="135"/>
      <c r="Y9" s="158"/>
      <c r="Z9" s="159"/>
      <c r="AA9" s="135"/>
      <c r="AB9" s="111"/>
    </row>
    <row r="10" spans="1:28" ht="19.5" customHeight="1">
      <c r="A10" s="145" t="s">
        <v>9</v>
      </c>
      <c r="B10" s="160"/>
      <c r="C10" s="161"/>
      <c r="D10" s="142"/>
      <c r="E10" s="162"/>
      <c r="F10" s="163"/>
      <c r="G10" s="133"/>
      <c r="H10" s="163"/>
      <c r="I10" s="133"/>
      <c r="J10" s="134"/>
      <c r="K10" s="163"/>
      <c r="L10" s="135"/>
      <c r="M10" s="164"/>
      <c r="N10" s="165"/>
      <c r="O10" s="158"/>
      <c r="P10" s="159"/>
      <c r="Q10" s="166"/>
      <c r="R10" s="166"/>
      <c r="S10" s="166"/>
      <c r="T10" s="166"/>
      <c r="U10" s="167"/>
      <c r="V10" s="135"/>
      <c r="W10" s="159"/>
      <c r="X10" s="135"/>
      <c r="Y10" s="158"/>
      <c r="Z10" s="159"/>
      <c r="AA10" s="135"/>
      <c r="AB10" s="111"/>
    </row>
    <row r="11" spans="1:28" ht="19.5" customHeight="1">
      <c r="A11" s="145" t="s">
        <v>10</v>
      </c>
      <c r="B11" s="73">
        <v>181</v>
      </c>
      <c r="C11" s="74">
        <v>0.45</v>
      </c>
      <c r="D11" s="75">
        <f>ROUNDUP(B11*C11,0)</f>
        <v>82</v>
      </c>
      <c r="E11" s="76">
        <f>3*F11</f>
        <v>78</v>
      </c>
      <c r="F11" s="77">
        <f>52/2</f>
        <v>26</v>
      </c>
      <c r="G11" s="158">
        <v>90</v>
      </c>
      <c r="H11" s="77">
        <v>5</v>
      </c>
      <c r="I11" s="158">
        <f>E11*H11</f>
        <v>390</v>
      </c>
      <c r="J11" s="168">
        <f>(I11/60)*'Unit costs'!$E$16</f>
        <v>2661.8313155770784</v>
      </c>
      <c r="K11" s="77">
        <f>D11-E11</f>
        <v>4</v>
      </c>
      <c r="L11" s="135">
        <f>K11*H11</f>
        <v>20</v>
      </c>
      <c r="M11" s="164">
        <f>ROUNDUP(K11/F11,0)</f>
        <v>1</v>
      </c>
      <c r="N11" s="165">
        <f>M11*H11</f>
        <v>5</v>
      </c>
      <c r="O11" s="168">
        <f>(N11/60)*'Unit costs'!$E$16</f>
        <v>34.126042507398438</v>
      </c>
      <c r="P11" s="169">
        <f>F11*O11</f>
        <v>887.27710519235939</v>
      </c>
      <c r="Q11" s="194">
        <v>0</v>
      </c>
      <c r="R11" s="194">
        <v>15</v>
      </c>
      <c r="S11" s="135">
        <f>Q11*R11</f>
        <v>0</v>
      </c>
      <c r="T11" s="170">
        <f>(S11/60)*('Unit costs'!$E$9+'Unit costs'!$E$11)</f>
        <v>0</v>
      </c>
      <c r="U11" s="78">
        <f>B11-Q11</f>
        <v>181</v>
      </c>
      <c r="V11" s="141">
        <f>U11/F11</f>
        <v>6.9615384615384617</v>
      </c>
      <c r="W11" s="159">
        <f>R11*V11</f>
        <v>104.42307692307692</v>
      </c>
      <c r="X11" s="170">
        <f>(W11/60)*('Unit costs'!$E$9+'Unit costs'!$E$11)</f>
        <v>155.78479077419755</v>
      </c>
      <c r="Y11" s="168">
        <f>X11*F11</f>
        <v>4050.4045601291364</v>
      </c>
      <c r="Z11" s="169">
        <f>P11+Y11</f>
        <v>4937.6816653214955</v>
      </c>
      <c r="AA11" s="135"/>
      <c r="AB11" s="111"/>
    </row>
    <row r="12" spans="1:28" ht="19.5" customHeight="1">
      <c r="A12" s="145" t="s">
        <v>11</v>
      </c>
      <c r="B12" s="73">
        <v>180</v>
      </c>
      <c r="C12" s="74">
        <v>0.75</v>
      </c>
      <c r="D12" s="75">
        <f>ROUNDUP(B12*C12,0)</f>
        <v>135</v>
      </c>
      <c r="E12" s="78">
        <f>D12*80%</f>
        <v>108</v>
      </c>
      <c r="F12" s="77">
        <f>52/2</f>
        <v>26</v>
      </c>
      <c r="G12" s="158">
        <v>30</v>
      </c>
      <c r="H12" s="77">
        <v>5</v>
      </c>
      <c r="I12" s="158">
        <f>E12*H12</f>
        <v>540</v>
      </c>
      <c r="J12" s="168">
        <f>(I12/60)*'Unit costs'!$E$16</f>
        <v>3685.6125907990313</v>
      </c>
      <c r="K12" s="77">
        <f>D12-E12</f>
        <v>27</v>
      </c>
      <c r="L12" s="135">
        <f>K12*H12</f>
        <v>135</v>
      </c>
      <c r="M12" s="164">
        <f>ROUNDUP(K12/F12,0)</f>
        <v>2</v>
      </c>
      <c r="N12" s="165">
        <f>M12*H12</f>
        <v>10</v>
      </c>
      <c r="O12" s="168">
        <f>(N12/60)*'Unit costs'!$E$16</f>
        <v>68.252085014796876</v>
      </c>
      <c r="P12" s="169">
        <f>F12*O12</f>
        <v>1774.5542103847188</v>
      </c>
      <c r="Q12" s="194">
        <v>0</v>
      </c>
      <c r="R12" s="194">
        <v>15</v>
      </c>
      <c r="S12" s="135">
        <f t="shared" ref="S12:S17" si="3">Q12*R12</f>
        <v>0</v>
      </c>
      <c r="T12" s="170">
        <f>(S12/60)*('Unit costs'!$E$9+'Unit costs'!$E$11)</f>
        <v>0</v>
      </c>
      <c r="U12" s="78">
        <f>B12-Q12</f>
        <v>180</v>
      </c>
      <c r="V12" s="141">
        <f>U12/F12</f>
        <v>6.9230769230769234</v>
      </c>
      <c r="W12" s="159">
        <f t="shared" ref="W12:W17" si="4">R12*V12</f>
        <v>103.84615384615385</v>
      </c>
      <c r="X12" s="170">
        <f>(W12/60)*('Unit costs'!$E$9+'Unit costs'!$E$11)</f>
        <v>154.92410132240639</v>
      </c>
      <c r="Y12" s="168">
        <f>X12*F12</f>
        <v>4028.026634382566</v>
      </c>
      <c r="Z12" s="169">
        <f t="shared" ref="Z12:Z17" si="5">P12+Y12</f>
        <v>5802.5808447672844</v>
      </c>
      <c r="AA12" s="135"/>
      <c r="AB12" s="111"/>
    </row>
    <row r="13" spans="1:28" ht="19.5" customHeight="1">
      <c r="A13" s="145" t="s">
        <v>12</v>
      </c>
      <c r="B13" s="73">
        <v>200</v>
      </c>
      <c r="C13" s="74">
        <f>D13/B13</f>
        <v>0.15</v>
      </c>
      <c r="D13" s="79">
        <v>30</v>
      </c>
      <c r="E13" s="76">
        <v>0</v>
      </c>
      <c r="F13" s="77">
        <v>26</v>
      </c>
      <c r="G13" s="158"/>
      <c r="H13" s="77">
        <v>5</v>
      </c>
      <c r="I13" s="158">
        <f>E13*H13</f>
        <v>0</v>
      </c>
      <c r="J13" s="168">
        <f>(I13/60)*'Unit costs'!$E$16</f>
        <v>0</v>
      </c>
      <c r="K13" s="77">
        <f>D13-E13</f>
        <v>30</v>
      </c>
      <c r="L13" s="135">
        <f>K13*H13</f>
        <v>150</v>
      </c>
      <c r="M13" s="164">
        <f>ROUNDUP(K13/F13,0)</f>
        <v>2</v>
      </c>
      <c r="N13" s="165">
        <f>M13*H13</f>
        <v>10</v>
      </c>
      <c r="O13" s="168">
        <f>(N13/60)*'Unit costs'!$E$16</f>
        <v>68.252085014796876</v>
      </c>
      <c r="P13" s="169">
        <f>F13*O13</f>
        <v>1774.5542103847188</v>
      </c>
      <c r="Q13" s="194">
        <v>0</v>
      </c>
      <c r="R13" s="194">
        <v>15</v>
      </c>
      <c r="S13" s="135">
        <f t="shared" si="3"/>
        <v>0</v>
      </c>
      <c r="T13" s="170">
        <f>(S13/60)*('Unit costs'!$E$9+'Unit costs'!$E$11)</f>
        <v>0</v>
      </c>
      <c r="U13" s="78">
        <f>B13-Q13</f>
        <v>200</v>
      </c>
      <c r="V13" s="141">
        <f>U13/F13</f>
        <v>7.6923076923076925</v>
      </c>
      <c r="W13" s="159">
        <f t="shared" si="4"/>
        <v>115.38461538461539</v>
      </c>
      <c r="X13" s="170">
        <f>(W13/60)*('Unit costs'!$E$9+'Unit costs'!$E$11)</f>
        <v>172.13789035822933</v>
      </c>
      <c r="Y13" s="168">
        <f>X13*F13</f>
        <v>4475.5851493139626</v>
      </c>
      <c r="Z13" s="169">
        <f t="shared" si="5"/>
        <v>6250.1393596986818</v>
      </c>
      <c r="AA13" s="135"/>
      <c r="AB13" s="111"/>
    </row>
    <row r="14" spans="1:28" ht="19.5" customHeight="1">
      <c r="A14" s="145" t="s">
        <v>13</v>
      </c>
      <c r="B14" s="73">
        <v>1145</v>
      </c>
      <c r="C14" s="74">
        <v>0.47</v>
      </c>
      <c r="D14" s="75">
        <f>ROUNDUP(B14*C14,0)</f>
        <v>539</v>
      </c>
      <c r="E14" s="76">
        <v>0</v>
      </c>
      <c r="F14" s="77">
        <v>26</v>
      </c>
      <c r="G14" s="158">
        <v>60</v>
      </c>
      <c r="H14" s="77">
        <v>5</v>
      </c>
      <c r="I14" s="158">
        <f>E14*H14</f>
        <v>0</v>
      </c>
      <c r="J14" s="168">
        <f>(I14/60)*'Unit costs'!$E$16</f>
        <v>0</v>
      </c>
      <c r="K14" s="77">
        <f>D14-E14</f>
        <v>539</v>
      </c>
      <c r="L14" s="135">
        <f>K14*H14</f>
        <v>2695</v>
      </c>
      <c r="M14" s="164">
        <f>ROUNDUP(K14/F14,0)</f>
        <v>21</v>
      </c>
      <c r="N14" s="165">
        <f>M14*H14</f>
        <v>105</v>
      </c>
      <c r="O14" s="168">
        <f>(N14/60)*'Unit costs'!$E$16</f>
        <v>716.6468926553672</v>
      </c>
      <c r="P14" s="169">
        <f>F14*O14</f>
        <v>18632.819209039546</v>
      </c>
      <c r="Q14" s="194">
        <v>0</v>
      </c>
      <c r="R14" s="194">
        <v>15</v>
      </c>
      <c r="S14" s="135">
        <f t="shared" si="3"/>
        <v>0</v>
      </c>
      <c r="T14" s="170">
        <f>(S14/60)*('Unit costs'!$E$9+'Unit costs'!$E$11)</f>
        <v>0</v>
      </c>
      <c r="U14" s="78">
        <f>B14-Q14</f>
        <v>1145</v>
      </c>
      <c r="V14" s="141">
        <f>U14/F14</f>
        <v>44.03846153846154</v>
      </c>
      <c r="W14" s="159">
        <f t="shared" si="4"/>
        <v>660.57692307692309</v>
      </c>
      <c r="X14" s="170">
        <f>(W14/60)*('Unit costs'!$E$9+'Unit costs'!$E$11)</f>
        <v>985.48942230086288</v>
      </c>
      <c r="Y14" s="168">
        <f>X14*F14</f>
        <v>25622.724979822437</v>
      </c>
      <c r="Z14" s="169">
        <f t="shared" si="5"/>
        <v>44255.544188861983</v>
      </c>
      <c r="AA14" s="135"/>
      <c r="AB14" s="111"/>
    </row>
    <row r="15" spans="1:28" s="144" customFormat="1" ht="19.5" hidden="1" customHeight="1">
      <c r="A15" s="132" t="s">
        <v>14</v>
      </c>
      <c r="B15" s="160"/>
      <c r="C15" s="161"/>
      <c r="D15" s="142"/>
      <c r="E15" s="162"/>
      <c r="F15" s="163"/>
      <c r="G15" s="133"/>
      <c r="H15" s="163"/>
      <c r="I15" s="133"/>
      <c r="J15" s="134">
        <f>(I15/60)*'Unit costs'!$E$16</f>
        <v>0</v>
      </c>
      <c r="K15" s="163"/>
      <c r="L15" s="139"/>
      <c r="M15" s="136"/>
      <c r="N15" s="137"/>
      <c r="O15" s="134"/>
      <c r="P15" s="138"/>
      <c r="Q15" s="171"/>
      <c r="R15" s="172"/>
      <c r="S15" s="172"/>
      <c r="T15" s="171"/>
      <c r="U15" s="173"/>
      <c r="V15" s="140"/>
      <c r="W15" s="138"/>
      <c r="X15" s="140"/>
      <c r="Y15" s="134"/>
      <c r="Z15" s="138"/>
      <c r="AA15" s="139"/>
      <c r="AB15" s="143"/>
    </row>
    <row r="16" spans="1:28" s="144" customFormat="1" ht="19.5" customHeight="1">
      <c r="A16" s="132" t="s">
        <v>15</v>
      </c>
      <c r="B16" s="73">
        <v>280</v>
      </c>
      <c r="C16" s="74">
        <f>D16/B16</f>
        <v>0.39285714285714285</v>
      </c>
      <c r="D16" s="75">
        <v>110</v>
      </c>
      <c r="E16" s="76">
        <v>0</v>
      </c>
      <c r="F16" s="77">
        <v>52</v>
      </c>
      <c r="G16" s="133"/>
      <c r="H16" s="77">
        <v>5</v>
      </c>
      <c r="I16" s="133">
        <f>E16*H16</f>
        <v>0</v>
      </c>
      <c r="J16" s="134">
        <f>(I16/60)*'Unit costs'!$E$16</f>
        <v>0</v>
      </c>
      <c r="K16" s="77">
        <f>D16-E16</f>
        <v>110</v>
      </c>
      <c r="L16" s="139">
        <f>K16*H16</f>
        <v>550</v>
      </c>
      <c r="M16" s="136">
        <f>ROUNDUP(K16/F16,0)</f>
        <v>3</v>
      </c>
      <c r="N16" s="137">
        <f>M16*H16</f>
        <v>15</v>
      </c>
      <c r="O16" s="134">
        <f>(N16/60)*'Unit costs'!$E$16</f>
        <v>102.37812752219531</v>
      </c>
      <c r="P16" s="138">
        <f>F16*O16</f>
        <v>5323.6626311541568</v>
      </c>
      <c r="Q16" s="194">
        <f>B16</f>
        <v>280</v>
      </c>
      <c r="R16" s="194">
        <v>15</v>
      </c>
      <c r="S16" s="139">
        <f t="shared" si="3"/>
        <v>4200</v>
      </c>
      <c r="T16" s="140">
        <f>(S16/60)*('Unit costs'!$E$9+'Unit costs'!$E$11)</f>
        <v>6265.8192090395469</v>
      </c>
      <c r="U16" s="78">
        <f>B16-Q16</f>
        <v>0</v>
      </c>
      <c r="V16" s="141">
        <f>U16/F16</f>
        <v>0</v>
      </c>
      <c r="W16" s="142">
        <f t="shared" si="4"/>
        <v>0</v>
      </c>
      <c r="X16" s="140">
        <f>(W16/60)*('Unit costs'!$E$9+'Unit costs'!$E$11)</f>
        <v>0</v>
      </c>
      <c r="Y16" s="134">
        <f>X16*F16</f>
        <v>0</v>
      </c>
      <c r="Z16" s="138">
        <f t="shared" si="5"/>
        <v>5323.6626311541568</v>
      </c>
      <c r="AA16" s="139"/>
      <c r="AB16" s="143"/>
    </row>
    <row r="17" spans="1:28" ht="19.5" customHeight="1">
      <c r="A17" s="145" t="s">
        <v>16</v>
      </c>
      <c r="B17" s="73">
        <v>800</v>
      </c>
      <c r="C17" s="74">
        <v>0.45</v>
      </c>
      <c r="D17" s="75">
        <f>ROUNDUP(B17*C17,0)</f>
        <v>360</v>
      </c>
      <c r="E17" s="76">
        <v>2</v>
      </c>
      <c r="F17" s="77">
        <f>52/2</f>
        <v>26</v>
      </c>
      <c r="G17" s="158">
        <v>60</v>
      </c>
      <c r="H17" s="77">
        <v>5</v>
      </c>
      <c r="I17" s="158">
        <f>E17*H17</f>
        <v>10</v>
      </c>
      <c r="J17" s="168">
        <f>(I17/60)*'Unit costs'!$E$16</f>
        <v>68.252085014796876</v>
      </c>
      <c r="K17" s="77">
        <f>D17-E17</f>
        <v>358</v>
      </c>
      <c r="L17" s="135">
        <f>K17*H17</f>
        <v>1790</v>
      </c>
      <c r="M17" s="164">
        <f>ROUNDUP(K17/F17,0)</f>
        <v>14</v>
      </c>
      <c r="N17" s="165">
        <f>M17*H17</f>
        <v>70</v>
      </c>
      <c r="O17" s="168">
        <f>(N17/60)*'Unit costs'!$E$16</f>
        <v>477.76459510357819</v>
      </c>
      <c r="P17" s="169">
        <f>F17*O17</f>
        <v>12421.879472693034</v>
      </c>
      <c r="Q17" s="194">
        <v>0</v>
      </c>
      <c r="R17" s="194">
        <v>15</v>
      </c>
      <c r="S17" s="135">
        <f t="shared" si="3"/>
        <v>0</v>
      </c>
      <c r="T17" s="170">
        <f>(S17/60)*('Unit costs'!$E$9+'Unit costs'!$E$11)</f>
        <v>0</v>
      </c>
      <c r="U17" s="78">
        <f>B17-Q17</f>
        <v>800</v>
      </c>
      <c r="V17" s="141">
        <f>U17/F17</f>
        <v>30.76923076923077</v>
      </c>
      <c r="W17" s="159">
        <f t="shared" si="4"/>
        <v>461.53846153846155</v>
      </c>
      <c r="X17" s="170">
        <f>(W17/60)*('Unit costs'!$E$9+'Unit costs'!$E$11)</f>
        <v>688.55156143291731</v>
      </c>
      <c r="Y17" s="168">
        <f>X17*F17</f>
        <v>17902.34059725585</v>
      </c>
      <c r="Z17" s="169">
        <f t="shared" si="5"/>
        <v>30324.220069948882</v>
      </c>
      <c r="AA17" s="135"/>
      <c r="AB17" s="111"/>
    </row>
    <row r="18" spans="1:28" s="144" customFormat="1" ht="19.5" hidden="1" customHeight="1">
      <c r="A18" s="132" t="s">
        <v>17</v>
      </c>
      <c r="B18" s="160"/>
      <c r="C18" s="161"/>
      <c r="D18" s="142"/>
      <c r="E18" s="162"/>
      <c r="F18" s="163"/>
      <c r="G18" s="133"/>
      <c r="H18" s="163"/>
      <c r="I18" s="133"/>
      <c r="J18" s="134">
        <f>(I18/60)*'Unit costs'!$E$16</f>
        <v>0</v>
      </c>
      <c r="K18" s="163"/>
      <c r="L18" s="139"/>
      <c r="M18" s="136"/>
      <c r="N18" s="137"/>
      <c r="O18" s="134"/>
      <c r="P18" s="138"/>
      <c r="Q18" s="171"/>
      <c r="R18" s="172"/>
      <c r="S18" s="172"/>
      <c r="T18" s="171"/>
      <c r="U18" s="173"/>
      <c r="V18" s="140"/>
      <c r="W18" s="138"/>
      <c r="X18" s="140"/>
      <c r="Y18" s="134"/>
      <c r="Z18" s="138"/>
      <c r="AA18" s="139"/>
    </row>
    <row r="19" spans="1:28" s="144" customFormat="1" ht="19.5" hidden="1" customHeight="1">
      <c r="A19" s="132" t="s">
        <v>18</v>
      </c>
      <c r="B19" s="160"/>
      <c r="C19" s="161"/>
      <c r="D19" s="142"/>
      <c r="E19" s="162"/>
      <c r="F19" s="163"/>
      <c r="G19" s="133"/>
      <c r="H19" s="163"/>
      <c r="I19" s="133"/>
      <c r="J19" s="134">
        <f>(I19/60)*'Unit costs'!$E$16</f>
        <v>0</v>
      </c>
      <c r="K19" s="163"/>
      <c r="L19" s="139"/>
      <c r="M19" s="136"/>
      <c r="N19" s="137"/>
      <c r="O19" s="134"/>
      <c r="P19" s="138"/>
      <c r="Q19" s="171"/>
      <c r="R19" s="172"/>
      <c r="S19" s="172"/>
      <c r="T19" s="171"/>
      <c r="U19" s="173"/>
      <c r="V19" s="140"/>
      <c r="W19" s="138"/>
      <c r="X19" s="140"/>
      <c r="Y19" s="134"/>
      <c r="Z19" s="138"/>
      <c r="AA19" s="139"/>
    </row>
    <row r="20" spans="1:28" ht="19.5" customHeight="1">
      <c r="A20" s="145" t="s">
        <v>19</v>
      </c>
      <c r="B20" s="73">
        <v>700</v>
      </c>
      <c r="C20" s="74">
        <v>0.25</v>
      </c>
      <c r="D20" s="75">
        <v>150</v>
      </c>
      <c r="E20" s="76">
        <f>D20</f>
        <v>150</v>
      </c>
      <c r="F20" s="77">
        <v>52</v>
      </c>
      <c r="G20" s="158">
        <v>60</v>
      </c>
      <c r="H20" s="77">
        <v>5</v>
      </c>
      <c r="I20" s="158">
        <f>E20*H20</f>
        <v>750</v>
      </c>
      <c r="J20" s="168">
        <f>(I20/60)*'Unit costs'!E16</f>
        <v>5118.9063761097659</v>
      </c>
      <c r="K20" s="77">
        <f>D20-E20</f>
        <v>0</v>
      </c>
      <c r="L20" s="135">
        <f>K20*H20</f>
        <v>0</v>
      </c>
      <c r="M20" s="164">
        <f>ROUNDUP(K20/F20,0)</f>
        <v>0</v>
      </c>
      <c r="N20" s="165">
        <f>M20*H20</f>
        <v>0</v>
      </c>
      <c r="O20" s="168">
        <f>(N20/60)*'Unit costs'!$E$16</f>
        <v>0</v>
      </c>
      <c r="P20" s="169">
        <f>F20*O20</f>
        <v>0</v>
      </c>
      <c r="Q20" s="194">
        <f>D20</f>
        <v>150</v>
      </c>
      <c r="R20" s="194">
        <v>15</v>
      </c>
      <c r="S20" s="135">
        <f t="shared" ref="S20" si="6">Q20*R20</f>
        <v>2250</v>
      </c>
      <c r="T20" s="170">
        <f>(S20/60)*('Unit costs'!$E$9+'Unit costs'!$E$11)</f>
        <v>3356.6888619854717</v>
      </c>
      <c r="U20" s="78">
        <f>B20-Q20</f>
        <v>550</v>
      </c>
      <c r="V20" s="141">
        <f>U20/F20</f>
        <v>10.576923076923077</v>
      </c>
      <c r="W20" s="159">
        <f t="shared" ref="W20" si="7">R20*V20</f>
        <v>158.65384615384616</v>
      </c>
      <c r="X20" s="170">
        <f>(W20/60)*('Unit costs'!$E$9+'Unit costs'!$E$11)</f>
        <v>236.68959924256532</v>
      </c>
      <c r="Y20" s="168">
        <f>X20*F20</f>
        <v>12307.859160613396</v>
      </c>
      <c r="Z20" s="169">
        <f t="shared" ref="Z20" si="8">P20+Y20</f>
        <v>12307.859160613396</v>
      </c>
      <c r="AA20" s="135"/>
    </row>
    <row r="21" spans="1:28" s="144" customFormat="1" ht="19.5" hidden="1" customHeight="1">
      <c r="A21" s="132" t="s">
        <v>20</v>
      </c>
      <c r="B21" s="160"/>
      <c r="C21" s="161"/>
      <c r="D21" s="142"/>
      <c r="E21" s="162"/>
      <c r="F21" s="163"/>
      <c r="G21" s="133"/>
      <c r="H21" s="163"/>
      <c r="I21" s="133"/>
      <c r="J21" s="134">
        <f>(I21/60)*'Unit costs'!$E$16</f>
        <v>0</v>
      </c>
      <c r="K21" s="163"/>
      <c r="L21" s="139"/>
      <c r="M21" s="136"/>
      <c r="N21" s="137"/>
      <c r="O21" s="133"/>
      <c r="P21" s="142"/>
      <c r="Q21" s="171"/>
      <c r="R21" s="171"/>
      <c r="S21" s="171"/>
      <c r="T21" s="171"/>
      <c r="U21" s="174"/>
      <c r="V21" s="139"/>
      <c r="W21" s="142"/>
      <c r="X21" s="139"/>
      <c r="Y21" s="133"/>
      <c r="Z21" s="142"/>
      <c r="AA21" s="139"/>
    </row>
    <row r="22" spans="1:28" s="144" customFormat="1" ht="19.5" customHeight="1" thickBot="1">
      <c r="A22" s="175" t="s">
        <v>3</v>
      </c>
      <c r="B22" s="176">
        <f>SUM(B8:B21)</f>
        <v>3766</v>
      </c>
      <c r="C22" s="177"/>
      <c r="D22" s="178">
        <f>SUM(D8:D21)</f>
        <v>1532</v>
      </c>
      <c r="E22" s="179">
        <f>SUM(E8:E21)</f>
        <v>380</v>
      </c>
      <c r="F22" s="180"/>
      <c r="G22" s="181"/>
      <c r="H22" s="180"/>
      <c r="I22" s="182">
        <f>SUM(I8:I21)</f>
        <v>1900</v>
      </c>
      <c r="J22" s="183">
        <f>SUM(J8:J21)</f>
        <v>12967.896152811405</v>
      </c>
      <c r="K22" s="239">
        <f>SUM(K8:K21)</f>
        <v>1152</v>
      </c>
      <c r="L22" s="240">
        <f t="shared" ref="L22" si="9">SUM(L8:L21)</f>
        <v>5760</v>
      </c>
      <c r="M22" s="241">
        <f>SUM(M8:M21)</f>
        <v>47</v>
      </c>
      <c r="N22" s="241">
        <f>SUM(N8:N21)</f>
        <v>235</v>
      </c>
      <c r="O22" s="183">
        <f>SUM(O8:O21)</f>
        <v>1603.9239978477265</v>
      </c>
      <c r="P22" s="184">
        <f>SUM(P8:P21)</f>
        <v>44090.846919558782</v>
      </c>
      <c r="Q22" s="185">
        <f>SUM(Q8:Q21)</f>
        <v>430</v>
      </c>
      <c r="R22" s="186"/>
      <c r="S22" s="185">
        <f t="shared" ref="S22:Y22" si="10">SUM(S8:S21)</f>
        <v>6450</v>
      </c>
      <c r="T22" s="187">
        <f t="shared" si="10"/>
        <v>9622.5080710250186</v>
      </c>
      <c r="U22" s="188">
        <f t="shared" si="10"/>
        <v>3336</v>
      </c>
      <c r="V22" s="185">
        <f t="shared" si="10"/>
        <v>118.62820512820514</v>
      </c>
      <c r="W22" s="189">
        <f t="shared" si="10"/>
        <v>1779.4230769230771</v>
      </c>
      <c r="X22" s="187">
        <f t="shared" si="10"/>
        <v>2654.6531658078266</v>
      </c>
      <c r="Y22" s="187">
        <f t="shared" si="10"/>
        <v>74652.760290556907</v>
      </c>
      <c r="Z22" s="190">
        <f t="shared" ref="Z22" si="11">P22+Y22</f>
        <v>118743.60721011569</v>
      </c>
      <c r="AA22" s="139"/>
    </row>
    <row r="23" spans="1:28" ht="19.5" customHeight="1">
      <c r="A23" s="191"/>
      <c r="M23" s="192" t="s">
        <v>133</v>
      </c>
    </row>
    <row r="24" spans="1:28" ht="19.5" customHeight="1">
      <c r="A24" s="193"/>
    </row>
    <row r="25" spans="1:28" ht="19.5" customHeight="1">
      <c r="A25" s="191"/>
    </row>
    <row r="26" spans="1:28" ht="19.5" customHeight="1">
      <c r="A26" s="191"/>
    </row>
  </sheetData>
  <sheetProtection password="F3BA" sheet="1" objects="1" scenarios="1"/>
  <protectedRanges>
    <protectedRange sqref="A5" name="Range2"/>
  </protectedRanges>
  <dataConsolidate/>
  <mergeCells count="12">
    <mergeCell ref="AA5:AA6"/>
    <mergeCell ref="K6:P6"/>
    <mergeCell ref="E6:J6"/>
    <mergeCell ref="E5:P5"/>
    <mergeCell ref="Q6:T6"/>
    <mergeCell ref="Q5:W5"/>
    <mergeCell ref="U6:W6"/>
    <mergeCell ref="A6:A7"/>
    <mergeCell ref="B5:D5"/>
    <mergeCell ref="C1:S3"/>
    <mergeCell ref="B6:D6"/>
    <mergeCell ref="C7:D7"/>
  </mergeCells>
  <dataValidations xWindow="442" yWindow="292" count="18">
    <dataValidation allowBlank="1" showInputMessage="1" showErrorMessage="1" promptTitle="Listed for audit" prompt="Assume that these are included in the co-ordinator cost." sqref="Q7"/>
    <dataValidation allowBlank="1" showInputMessage="1" showErrorMessage="1" promptTitle="Assumption" prompt="Assumption only." sqref="R11:R14 R16:R17 R20"/>
    <dataValidation allowBlank="1" showInputMessage="1" showErrorMessage="1" promptTitle="Time per patient" prompt="Variable between 2 and 5-10 minutes.&#10;&#10;Assume highest time spent." sqref="H11"/>
    <dataValidation allowBlank="1" showInputMessage="1" showErrorMessage="1" promptTitle="Time per patient" prompt="Can be up to 15 minutes.&#10;&#10;Assume highest time spent." sqref="H17"/>
    <dataValidation allowBlank="1" showInputMessage="1" showErrorMessage="1" promptTitle="Lenght of meeting" prompt="Martin Porter: approx 10-30 minutes&#10;Mark Darling: approx 30-45 minutes or approx 1 hour.&#10;&#10;Assume longest time?" sqref="G14"/>
    <dataValidation allowBlank="1" showInputMessage="1" showErrorMessage="1" promptTitle="Meeting frequency" prompt="Every 2-3 weeks.&#10;&#10;Assume 26 a year." sqref="F14"/>
    <dataValidation allowBlank="1" showInputMessage="1" showErrorMessage="1" promptTitle="Length of meeting" prompt="30min-1 hour, so assume 1 hour." sqref="G20"/>
    <dataValidation allowBlank="1" showInputMessage="1" showErrorMessage="1" promptTitle="Numberof patients discussed" prompt="3 patients discussed per meeting" sqref="H20 H22"/>
    <dataValidation allowBlank="1" showInputMessage="1" showErrorMessage="1" promptTitle="Meeting frequency" prompt="No data available.&#10;&#10;Assume 26 a year." sqref="F13"/>
    <dataValidation allowBlank="1" showInputMessage="1" showErrorMessage="1" prompt="No data available.&#10;&#10;Assume same as Tayside." sqref="H13"/>
    <dataValidation type="list" allowBlank="1" showInputMessage="1" showErrorMessage="1" sqref="A5">
      <formula1>$A$6:$A$21</formula1>
    </dataValidation>
    <dataValidation allowBlank="1" showInputMessage="1" showErrorMessage="1" promptTitle="Patient groups" prompt="NHS Grampian&#10;&#10;NHS Orkney&#10;&#10;NHS Shetland" sqref="A13"/>
    <dataValidation allowBlank="1" showInputMessage="1" showErrorMessage="1" promptTitle="NHS Board patients referred to" prompt="Patients in NHS Orkney are covered by NHS Grampian." sqref="A18:A19"/>
    <dataValidation allowBlank="1" showInputMessage="1" showErrorMessage="1" promptTitle="Virtual MDT" prompt="NHS Highland use a virtual MDT only and have no plans to change this system." sqref="A15"/>
    <dataValidation allowBlank="1" showInputMessage="1" showErrorMessage="1" promptTitle="Patient groups" prompt="NHS Tayside&#10;&#10;Some patients from NHS Fife.&#10;&#10;" sqref="A20"/>
    <dataValidation allowBlank="1" showInputMessage="1" showErrorMessage="1" promptTitle="Use average?" prompt="Average of 53+40?" sqref="C14"/>
    <dataValidation allowBlank="1" showInputMessage="1" showErrorMessage="1" promptTitle="Patients discussed" prompt="2 or 3&#10;&#10;Assume highest" sqref="E11"/>
    <dataValidation allowBlank="1" showInputMessage="1" showErrorMessage="1" promptTitle="Assumption" prompt="&quot;Unable to provide precise figure at this point.&quot;&#10;&#10;....therefore, assumed to be the same as Fife and Lothian." sqref="C8"/>
  </dataValidations>
  <pageMargins left="0.70866141732283472" right="0.70866141732283472" top="0.74803149606299213" bottom="0.74803149606299213" header="0.31496062992125984" footer="0.31496062992125984"/>
  <pageSetup paperSize="9" scale="34" orientation="landscape" r:id="rId1"/>
  <headerFooter>
    <oddFooter>&amp;LCosting template: Familial breast cancer (update)</oddFooter>
  </headerFooter>
  <drawing r:id="rId2"/>
</worksheet>
</file>

<file path=xl/worksheets/sheet5.xml><?xml version="1.0" encoding="utf-8"?>
<worksheet xmlns="http://schemas.openxmlformats.org/spreadsheetml/2006/main" xmlns:r="http://schemas.openxmlformats.org/officeDocument/2006/relationships">
  <dimension ref="A1:G94"/>
  <sheetViews>
    <sheetView showGridLines="0" workbookViewId="0">
      <selection activeCell="D27" sqref="D27"/>
    </sheetView>
  </sheetViews>
  <sheetFormatPr defaultRowHeight="14.25"/>
  <cols>
    <col min="1" max="1" width="2.7109375" style="196" customWidth="1"/>
    <col min="2" max="2" width="30" style="196" customWidth="1"/>
    <col min="3" max="3" width="14.42578125" style="195" customWidth="1"/>
    <col min="4" max="4" width="17.140625" style="195" customWidth="1"/>
    <col min="5" max="5" width="19.7109375" style="195" customWidth="1"/>
    <col min="6" max="6" width="31.140625" style="196" customWidth="1"/>
    <col min="7" max="7" width="13.85546875" style="196" customWidth="1"/>
    <col min="8" max="16384" width="9.140625" style="196"/>
  </cols>
  <sheetData>
    <row r="1" spans="2:7">
      <c r="B1" s="44"/>
    </row>
    <row r="2" spans="2:7" ht="14.25" customHeight="1">
      <c r="C2" s="46"/>
      <c r="D2" s="197"/>
      <c r="E2" s="197"/>
      <c r="F2" s="198"/>
      <c r="G2" s="197"/>
    </row>
    <row r="3" spans="2:7" ht="14.25" customHeight="1">
      <c r="B3" s="199"/>
      <c r="E3" s="200"/>
      <c r="F3" s="198"/>
      <c r="G3" s="197"/>
    </row>
    <row r="4" spans="2:7" ht="14.25" customHeight="1">
      <c r="B4" s="199"/>
      <c r="E4" s="200"/>
      <c r="F4" s="198"/>
      <c r="G4" s="197"/>
    </row>
    <row r="5" spans="2:7" ht="30.75" customHeight="1" thickBot="1">
      <c r="B5" s="199"/>
      <c r="E5" s="200"/>
      <c r="F5" s="198"/>
      <c r="G5" s="197"/>
    </row>
    <row r="6" spans="2:7" ht="30.75" customHeight="1" thickBot="1">
      <c r="B6" s="275" t="s">
        <v>119</v>
      </c>
      <c r="C6" s="276"/>
      <c r="D6" s="276"/>
      <c r="E6" s="277"/>
      <c r="F6" s="198"/>
      <c r="G6" s="197"/>
    </row>
    <row r="7" spans="2:7" ht="14.25" customHeight="1" thickBot="1">
      <c r="E7" s="200"/>
      <c r="F7" s="198"/>
      <c r="G7" s="197"/>
    </row>
    <row r="8" spans="2:7" ht="15.75" thickBot="1">
      <c r="B8" s="58" t="s">
        <v>102</v>
      </c>
      <c r="C8" s="242" t="s">
        <v>166</v>
      </c>
      <c r="D8" s="201" t="s">
        <v>104</v>
      </c>
      <c r="E8" s="202" t="s">
        <v>113</v>
      </c>
      <c r="F8" s="198"/>
      <c r="G8" s="197"/>
    </row>
    <row r="9" spans="2:7" ht="15">
      <c r="B9" s="203" t="s">
        <v>27</v>
      </c>
      <c r="C9" s="204" t="s">
        <v>168</v>
      </c>
      <c r="D9" s="238">
        <f>'AFC pay'!$C$36</f>
        <v>26581.25</v>
      </c>
      <c r="E9" s="205">
        <f>D9/(41.3*37.5)</f>
        <v>17.163034705407586</v>
      </c>
      <c r="F9" s="141"/>
      <c r="G9" s="197"/>
    </row>
    <row r="10" spans="2:7">
      <c r="B10" s="206" t="s">
        <v>28</v>
      </c>
      <c r="C10" s="207" t="s">
        <v>167</v>
      </c>
      <c r="D10" s="238">
        <f>'AFC pay'!$B$116</f>
        <v>112050</v>
      </c>
      <c r="E10" s="205">
        <f t="shared" ref="E10:E15" si="0">D10/(41.3*37.5)</f>
        <v>72.348668280871664</v>
      </c>
      <c r="F10" s="198"/>
      <c r="G10" s="197"/>
    </row>
    <row r="11" spans="2:7">
      <c r="B11" s="206" t="s">
        <v>29</v>
      </c>
      <c r="C11" s="207" t="s">
        <v>167</v>
      </c>
      <c r="D11" s="238">
        <f>'AFC pay'!$B$116</f>
        <v>112050</v>
      </c>
      <c r="E11" s="205">
        <f t="shared" si="0"/>
        <v>72.348668280871664</v>
      </c>
      <c r="F11" s="198"/>
      <c r="G11" s="197"/>
    </row>
    <row r="12" spans="2:7">
      <c r="B12" s="206" t="s">
        <v>30</v>
      </c>
      <c r="C12" s="207" t="s">
        <v>167</v>
      </c>
      <c r="D12" s="238">
        <f>'AFC pay'!$B$116</f>
        <v>112050</v>
      </c>
      <c r="E12" s="205">
        <f t="shared" si="0"/>
        <v>72.348668280871664</v>
      </c>
      <c r="F12" s="198"/>
      <c r="G12" s="197"/>
    </row>
    <row r="13" spans="2:7">
      <c r="B13" s="206" t="s">
        <v>31</v>
      </c>
      <c r="C13" s="207" t="s">
        <v>169</v>
      </c>
      <c r="D13" s="238">
        <f>'AFC pay'!B71</f>
        <v>47401.25</v>
      </c>
      <c r="E13" s="205">
        <f t="shared" si="0"/>
        <v>30.606133979015336</v>
      </c>
      <c r="F13" s="198"/>
      <c r="G13" s="197"/>
    </row>
    <row r="14" spans="2:7">
      <c r="B14" s="206" t="s">
        <v>32</v>
      </c>
      <c r="C14" s="207" t="s">
        <v>167</v>
      </c>
      <c r="D14" s="238">
        <f>'AFC pay'!$B$116</f>
        <v>112050</v>
      </c>
      <c r="E14" s="205">
        <f t="shared" si="0"/>
        <v>72.348668280871664</v>
      </c>
      <c r="F14" s="198"/>
      <c r="G14" s="197"/>
    </row>
    <row r="15" spans="2:7" ht="15" thickBot="1">
      <c r="B15" s="206" t="s">
        <v>33</v>
      </c>
      <c r="C15" s="207" t="s">
        <v>167</v>
      </c>
      <c r="D15" s="238">
        <f>'AFC pay'!$B$116</f>
        <v>112050</v>
      </c>
      <c r="E15" s="205">
        <f t="shared" si="0"/>
        <v>72.348668280871664</v>
      </c>
      <c r="F15" s="198"/>
      <c r="G15" s="197"/>
    </row>
    <row r="16" spans="2:7" ht="15.75" thickBot="1">
      <c r="B16" s="208" t="s">
        <v>101</v>
      </c>
      <c r="C16" s="209"/>
      <c r="D16" s="201">
        <f>SUM(D9:D15)</f>
        <v>634232.5</v>
      </c>
      <c r="E16" s="202">
        <f>SUM(E9:E15)</f>
        <v>409.51251008878126</v>
      </c>
      <c r="F16" s="198"/>
      <c r="G16" s="197"/>
    </row>
    <row r="17" spans="2:7">
      <c r="B17" s="210"/>
      <c r="C17" s="207"/>
      <c r="D17" s="200"/>
      <c r="E17" s="200"/>
      <c r="F17" s="198"/>
      <c r="G17" s="197"/>
    </row>
    <row r="18" spans="2:7" ht="15">
      <c r="B18" s="211"/>
      <c r="C18" s="46"/>
      <c r="D18" s="197"/>
      <c r="E18" s="197"/>
      <c r="F18" s="198"/>
      <c r="G18" s="197"/>
    </row>
    <row r="19" spans="2:7">
      <c r="B19" s="211"/>
      <c r="C19" s="45"/>
      <c r="D19" s="197"/>
      <c r="E19" s="197"/>
      <c r="F19" s="198"/>
      <c r="G19" s="197"/>
    </row>
    <row r="20" spans="2:7" ht="23.25" customHeight="1">
      <c r="B20" s="212"/>
      <c r="C20" s="46"/>
      <c r="D20" s="213"/>
      <c r="E20" s="213"/>
      <c r="F20" s="214"/>
      <c r="G20" s="215"/>
    </row>
    <row r="21" spans="2:7" ht="14.25" customHeight="1">
      <c r="B21" s="211"/>
      <c r="C21" s="46"/>
      <c r="D21" s="197"/>
      <c r="E21" s="197"/>
      <c r="F21" s="216"/>
      <c r="G21" s="197"/>
    </row>
    <row r="22" spans="2:7" ht="14.25" customHeight="1">
      <c r="B22" s="211"/>
      <c r="C22" s="46"/>
      <c r="D22" s="197"/>
      <c r="E22" s="197"/>
      <c r="F22" s="216"/>
      <c r="G22" s="197"/>
    </row>
    <row r="23" spans="2:7" ht="14.25" customHeight="1">
      <c r="B23" s="211"/>
      <c r="C23" s="46"/>
      <c r="D23" s="197"/>
      <c r="E23" s="197"/>
      <c r="F23" s="216"/>
      <c r="G23" s="197"/>
    </row>
    <row r="24" spans="2:7" ht="14.25" customHeight="1">
      <c r="B24" s="211"/>
      <c r="C24" s="46"/>
      <c r="D24" s="197"/>
      <c r="E24" s="197"/>
      <c r="F24" s="216"/>
      <c r="G24" s="197"/>
    </row>
    <row r="25" spans="2:7" ht="15" customHeight="1">
      <c r="B25" s="211"/>
      <c r="C25" s="46"/>
      <c r="D25" s="197"/>
      <c r="E25" s="197"/>
      <c r="F25" s="216"/>
      <c r="G25" s="197"/>
    </row>
    <row r="26" spans="2:7" ht="14.25" customHeight="1">
      <c r="B26" s="217"/>
      <c r="C26" s="45"/>
      <c r="D26" s="197"/>
      <c r="E26" s="197"/>
      <c r="F26" s="216"/>
      <c r="G26" s="197"/>
    </row>
    <row r="27" spans="2:7" ht="42.75" customHeight="1">
      <c r="B27" s="211"/>
      <c r="C27" s="46"/>
      <c r="D27" s="218"/>
      <c r="E27" s="218"/>
      <c r="F27" s="214"/>
      <c r="G27" s="215"/>
    </row>
    <row r="28" spans="2:7" ht="31.5" customHeight="1">
      <c r="B28" s="211"/>
      <c r="C28" s="46"/>
      <c r="D28" s="218"/>
      <c r="E28" s="218"/>
      <c r="F28" s="198"/>
      <c r="G28" s="197"/>
    </row>
    <row r="29" spans="2:7" ht="18">
      <c r="B29" s="219"/>
      <c r="C29" s="45"/>
      <c r="D29" s="218"/>
      <c r="E29" s="218"/>
      <c r="F29" s="198"/>
      <c r="G29" s="197"/>
    </row>
    <row r="30" spans="2:7">
      <c r="B30" s="211"/>
      <c r="C30" s="45"/>
      <c r="D30" s="198"/>
      <c r="E30" s="198"/>
      <c r="F30" s="198"/>
      <c r="G30" s="197"/>
    </row>
    <row r="31" spans="2:7" ht="42.75" customHeight="1">
      <c r="B31" s="211"/>
      <c r="C31" s="41"/>
      <c r="D31" s="218"/>
      <c r="E31" s="218"/>
      <c r="F31" s="198"/>
      <c r="G31" s="197"/>
    </row>
    <row r="32" spans="2:7">
      <c r="B32" s="211"/>
      <c r="C32" s="41"/>
      <c r="D32" s="218"/>
      <c r="E32" s="218"/>
      <c r="F32" s="198"/>
      <c r="G32" s="197"/>
    </row>
    <row r="33" spans="1:7" ht="15">
      <c r="B33" s="211"/>
      <c r="C33" s="46"/>
      <c r="D33" s="141"/>
      <c r="E33" s="141"/>
      <c r="F33" s="141"/>
      <c r="G33" s="220"/>
    </row>
    <row r="34" spans="1:7">
      <c r="B34" s="221"/>
      <c r="C34" s="45"/>
      <c r="D34" s="141"/>
      <c r="E34" s="141"/>
      <c r="F34" s="214"/>
      <c r="G34" s="197"/>
    </row>
    <row r="35" spans="1:7" ht="15">
      <c r="B35" s="211"/>
      <c r="C35" s="46"/>
      <c r="D35" s="141"/>
      <c r="E35" s="141"/>
      <c r="F35" s="214"/>
      <c r="G35" s="197"/>
    </row>
    <row r="36" spans="1:7">
      <c r="B36" s="211"/>
      <c r="C36" s="45"/>
      <c r="D36" s="141"/>
      <c r="E36" s="141"/>
      <c r="F36" s="214"/>
      <c r="G36" s="197"/>
    </row>
    <row r="37" spans="1:7">
      <c r="B37" s="211"/>
      <c r="C37" s="45"/>
      <c r="D37" s="141"/>
      <c r="E37" s="141"/>
      <c r="F37" s="214"/>
      <c r="G37" s="197"/>
    </row>
    <row r="38" spans="1:7">
      <c r="B38" s="211"/>
      <c r="C38" s="45"/>
      <c r="D38" s="141"/>
      <c r="E38" s="141"/>
      <c r="F38" s="214"/>
      <c r="G38" s="197"/>
    </row>
    <row r="39" spans="1:7" ht="15">
      <c r="B39" s="212"/>
      <c r="C39" s="45"/>
      <c r="D39" s="141"/>
      <c r="E39" s="141"/>
      <c r="F39" s="214"/>
      <c r="G39" s="197"/>
    </row>
    <row r="40" spans="1:7" ht="63" customHeight="1">
      <c r="B40" s="222"/>
      <c r="C40" s="47"/>
      <c r="D40" s="197"/>
      <c r="E40" s="197"/>
      <c r="F40" s="198"/>
      <c r="G40" s="197"/>
    </row>
    <row r="41" spans="1:7" ht="28.5" customHeight="1">
      <c r="B41" s="223"/>
      <c r="C41" s="47"/>
      <c r="D41" s="198"/>
      <c r="E41" s="198"/>
      <c r="F41" s="198"/>
      <c r="G41" s="197"/>
    </row>
    <row r="42" spans="1:7" ht="14.25" customHeight="1">
      <c r="B42" s="212"/>
      <c r="C42" s="47"/>
      <c r="D42" s="197"/>
      <c r="E42" s="197"/>
      <c r="F42" s="214"/>
      <c r="G42" s="215"/>
    </row>
    <row r="43" spans="1:7" ht="61.5" customHeight="1">
      <c r="B43" s="222"/>
      <c r="C43" s="47"/>
      <c r="D43" s="197"/>
      <c r="E43" s="197"/>
      <c r="F43" s="198"/>
      <c r="G43" s="197"/>
    </row>
    <row r="44" spans="1:7" ht="15">
      <c r="B44" s="223"/>
      <c r="C44" s="47"/>
      <c r="D44" s="197"/>
      <c r="E44" s="197"/>
      <c r="F44" s="198"/>
      <c r="G44" s="197"/>
    </row>
    <row r="45" spans="1:7" ht="39" customHeight="1">
      <c r="B45" s="219"/>
      <c r="C45" s="48"/>
      <c r="D45" s="224"/>
      <c r="E45" s="224"/>
      <c r="F45" s="224"/>
      <c r="G45" s="224"/>
    </row>
    <row r="46" spans="1:7" ht="18" customHeight="1">
      <c r="B46" s="225"/>
      <c r="C46" s="48"/>
      <c r="D46" s="224"/>
      <c r="E46" s="224"/>
      <c r="F46" s="224"/>
      <c r="G46" s="224"/>
    </row>
    <row r="47" spans="1:7" ht="31.5" customHeight="1">
      <c r="B47" s="211"/>
      <c r="C47" s="47"/>
      <c r="D47" s="198"/>
      <c r="E47" s="198"/>
      <c r="F47" s="224"/>
      <c r="G47" s="224"/>
    </row>
    <row r="48" spans="1:7" ht="33" customHeight="1">
      <c r="A48" s="226"/>
      <c r="B48" s="227"/>
      <c r="C48" s="224"/>
      <c r="D48" s="224"/>
      <c r="E48" s="224"/>
      <c r="F48" s="224"/>
      <c r="G48" s="224"/>
    </row>
    <row r="49" spans="2:7">
      <c r="B49" s="211"/>
      <c r="C49" s="228"/>
      <c r="D49" s="197"/>
      <c r="E49" s="197"/>
      <c r="F49" s="224"/>
      <c r="G49" s="224"/>
    </row>
    <row r="50" spans="2:7">
      <c r="B50" s="211"/>
      <c r="C50" s="228"/>
      <c r="D50" s="197"/>
      <c r="E50" s="197"/>
      <c r="F50" s="224"/>
      <c r="G50" s="224"/>
    </row>
    <row r="51" spans="2:7">
      <c r="B51" s="211"/>
      <c r="C51" s="228"/>
      <c r="D51" s="198"/>
      <c r="E51" s="198"/>
      <c r="F51" s="224"/>
      <c r="G51" s="224"/>
    </row>
    <row r="52" spans="2:7" ht="44.25" customHeight="1">
      <c r="B52" s="211"/>
      <c r="C52" s="228"/>
      <c r="D52" s="197"/>
      <c r="E52" s="197"/>
      <c r="F52" s="224"/>
      <c r="G52" s="224"/>
    </row>
    <row r="53" spans="2:7" ht="44.25" customHeight="1">
      <c r="B53" s="211"/>
      <c r="C53" s="228"/>
      <c r="D53" s="198"/>
      <c r="E53" s="198"/>
      <c r="F53" s="224"/>
      <c r="G53" s="224"/>
    </row>
    <row r="54" spans="2:7" ht="44.25" customHeight="1">
      <c r="B54" s="227"/>
      <c r="C54" s="228"/>
      <c r="D54" s="197"/>
      <c r="E54" s="197"/>
      <c r="F54" s="224"/>
      <c r="G54" s="224"/>
    </row>
    <row r="55" spans="2:7">
      <c r="B55" s="211"/>
      <c r="C55" s="49"/>
      <c r="D55" s="198"/>
      <c r="E55" s="198"/>
      <c r="F55" s="198"/>
      <c r="G55" s="198"/>
    </row>
    <row r="56" spans="2:7">
      <c r="B56" s="211"/>
      <c r="C56" s="49"/>
      <c r="D56" s="198"/>
      <c r="E56" s="198"/>
      <c r="F56" s="198"/>
      <c r="G56" s="229"/>
    </row>
    <row r="57" spans="2:7" ht="15">
      <c r="B57" s="230"/>
      <c r="C57" s="48"/>
      <c r="D57" s="231"/>
      <c r="E57" s="231"/>
      <c r="F57" s="195"/>
      <c r="G57" s="195"/>
    </row>
    <row r="58" spans="2:7">
      <c r="B58" s="211"/>
      <c r="C58" s="49"/>
      <c r="D58" s="198"/>
      <c r="E58" s="198"/>
      <c r="F58" s="198"/>
      <c r="G58" s="229"/>
    </row>
    <row r="59" spans="2:7">
      <c r="B59" s="211"/>
      <c r="C59" s="49"/>
      <c r="D59" s="198"/>
      <c r="E59" s="198"/>
      <c r="F59" s="198"/>
      <c r="G59" s="229"/>
    </row>
    <row r="60" spans="2:7" ht="15">
      <c r="B60" s="211"/>
      <c r="C60" s="47"/>
      <c r="D60" s="198"/>
      <c r="E60" s="198"/>
      <c r="F60" s="198"/>
      <c r="G60" s="229"/>
    </row>
    <row r="61" spans="2:7">
      <c r="B61" s="211"/>
      <c r="C61" s="48"/>
      <c r="D61" s="232"/>
      <c r="E61" s="232"/>
      <c r="F61" s="195"/>
      <c r="G61" s="195"/>
    </row>
    <row r="62" spans="2:7">
      <c r="B62" s="211"/>
      <c r="C62" s="48"/>
      <c r="D62" s="232"/>
      <c r="E62" s="232"/>
      <c r="F62" s="195"/>
      <c r="G62" s="195"/>
    </row>
    <row r="63" spans="2:7" ht="18">
      <c r="B63" s="219"/>
      <c r="C63" s="48"/>
      <c r="D63" s="232"/>
      <c r="E63" s="232"/>
      <c r="F63" s="195"/>
      <c r="G63" s="195"/>
    </row>
    <row r="64" spans="2:7" ht="15">
      <c r="B64" s="230"/>
      <c r="C64" s="48"/>
      <c r="D64" s="232"/>
      <c r="E64" s="232"/>
      <c r="F64" s="195"/>
      <c r="G64" s="195"/>
    </row>
    <row r="65" spans="2:7">
      <c r="B65" s="211"/>
      <c r="C65" s="48"/>
      <c r="D65" s="232"/>
      <c r="E65" s="232"/>
      <c r="F65" s="195"/>
      <c r="G65" s="195"/>
    </row>
    <row r="66" spans="2:7" ht="15">
      <c r="B66" s="211"/>
      <c r="C66" s="47"/>
      <c r="D66" s="198"/>
      <c r="E66" s="198"/>
      <c r="F66" s="198"/>
      <c r="G66" s="198"/>
    </row>
    <row r="67" spans="2:7">
      <c r="B67" s="211"/>
      <c r="D67" s="198"/>
      <c r="E67" s="198"/>
      <c r="F67" s="198"/>
      <c r="G67" s="198"/>
    </row>
    <row r="68" spans="2:7" ht="15">
      <c r="B68" s="211"/>
      <c r="C68" s="50"/>
      <c r="D68" s="198"/>
      <c r="E68" s="198"/>
      <c r="F68" s="198"/>
      <c r="G68" s="198"/>
    </row>
    <row r="69" spans="2:7" ht="15">
      <c r="B69" s="211"/>
      <c r="C69" s="50"/>
      <c r="D69" s="198"/>
      <c r="E69" s="198"/>
      <c r="F69" s="198"/>
      <c r="G69" s="198"/>
    </row>
    <row r="70" spans="2:7" ht="15">
      <c r="B70" s="212"/>
      <c r="C70" s="48"/>
      <c r="D70" s="232"/>
      <c r="E70" s="232"/>
      <c r="F70" s="195"/>
      <c r="G70" s="198"/>
    </row>
    <row r="71" spans="2:7">
      <c r="B71" s="211"/>
      <c r="C71" s="49"/>
      <c r="D71" s="198"/>
      <c r="E71" s="198"/>
      <c r="F71" s="198"/>
      <c r="G71" s="198"/>
    </row>
    <row r="72" spans="2:7" ht="15">
      <c r="B72" s="211"/>
      <c r="C72" s="47"/>
      <c r="D72" s="198"/>
      <c r="E72" s="198"/>
      <c r="F72" s="198"/>
      <c r="G72" s="198"/>
    </row>
    <row r="73" spans="2:7">
      <c r="B73" s="211"/>
      <c r="C73" s="51"/>
      <c r="D73" s="198"/>
      <c r="E73" s="198"/>
      <c r="F73" s="231"/>
      <c r="G73" s="198"/>
    </row>
    <row r="74" spans="2:7" ht="15.75">
      <c r="B74" s="225"/>
      <c r="C74" s="48"/>
      <c r="D74" s="232"/>
      <c r="E74" s="232"/>
      <c r="F74" s="195"/>
      <c r="G74" s="198"/>
    </row>
    <row r="75" spans="2:7">
      <c r="B75" s="211"/>
      <c r="C75" s="48"/>
      <c r="D75" s="198"/>
      <c r="E75" s="198"/>
      <c r="F75" s="231"/>
      <c r="G75" s="198"/>
    </row>
    <row r="76" spans="2:7">
      <c r="B76" s="211"/>
      <c r="C76" s="48"/>
      <c r="D76" s="198"/>
      <c r="E76" s="198"/>
      <c r="F76" s="231"/>
      <c r="G76" s="198"/>
    </row>
    <row r="77" spans="2:7" ht="15" customHeight="1">
      <c r="B77" s="217"/>
      <c r="C77" s="48"/>
      <c r="D77" s="198"/>
      <c r="E77" s="198"/>
      <c r="F77" s="198"/>
      <c r="G77" s="198"/>
    </row>
    <row r="78" spans="2:7" ht="15">
      <c r="B78" s="217"/>
      <c r="C78" s="47"/>
      <c r="D78" s="198"/>
      <c r="E78" s="198"/>
      <c r="F78" s="198"/>
      <c r="G78" s="198"/>
    </row>
    <row r="79" spans="2:7">
      <c r="B79" s="211"/>
      <c r="C79" s="48"/>
      <c r="D79" s="198"/>
      <c r="E79" s="198"/>
      <c r="F79" s="231"/>
      <c r="G79" s="198"/>
    </row>
    <row r="80" spans="2:7" ht="15">
      <c r="B80" s="211"/>
      <c r="C80" s="47"/>
      <c r="D80" s="218"/>
      <c r="E80" s="218"/>
      <c r="F80" s="198"/>
      <c r="G80" s="198"/>
    </row>
    <row r="81" spans="2:7">
      <c r="B81" s="211"/>
      <c r="C81" s="48"/>
      <c r="D81" s="198"/>
      <c r="E81" s="198"/>
      <c r="F81" s="231"/>
      <c r="G81" s="198"/>
    </row>
    <row r="82" spans="2:7" ht="15">
      <c r="B82" s="211"/>
      <c r="C82" s="47"/>
      <c r="D82" s="198"/>
      <c r="E82" s="198"/>
      <c r="F82" s="198"/>
      <c r="G82" s="198"/>
    </row>
    <row r="83" spans="2:7" ht="15">
      <c r="B83" s="211"/>
      <c r="C83" s="47"/>
      <c r="D83" s="224"/>
      <c r="E83" s="224"/>
      <c r="F83" s="224"/>
      <c r="G83" s="224"/>
    </row>
    <row r="84" spans="2:7">
      <c r="B84" s="211"/>
      <c r="C84" s="48"/>
      <c r="D84" s="198"/>
      <c r="E84" s="198"/>
      <c r="F84" s="231"/>
      <c r="G84" s="198"/>
    </row>
    <row r="85" spans="2:7">
      <c r="B85" s="211"/>
      <c r="C85" s="48"/>
      <c r="D85" s="232"/>
      <c r="E85" s="232"/>
      <c r="F85" s="195"/>
      <c r="G85" s="195"/>
    </row>
    <row r="86" spans="2:7" ht="15.75">
      <c r="B86" s="225"/>
      <c r="G86" s="195"/>
    </row>
    <row r="87" spans="2:7">
      <c r="B87" s="211"/>
      <c r="C87" s="48"/>
      <c r="D87" s="224"/>
      <c r="E87" s="224"/>
      <c r="F87" s="195"/>
      <c r="G87" s="195"/>
    </row>
    <row r="88" spans="2:7" ht="15.75">
      <c r="B88" s="225"/>
      <c r="C88" s="48"/>
      <c r="D88" s="232"/>
      <c r="E88" s="232"/>
      <c r="F88" s="195"/>
      <c r="G88" s="195"/>
    </row>
    <row r="89" spans="2:7">
      <c r="B89" s="211"/>
      <c r="C89" s="48"/>
      <c r="D89" s="232"/>
      <c r="E89" s="232"/>
      <c r="F89" s="195"/>
      <c r="G89" s="195"/>
    </row>
    <row r="90" spans="2:7" ht="15">
      <c r="B90" s="211"/>
      <c r="C90" s="47"/>
      <c r="D90" s="233"/>
      <c r="E90" s="233"/>
      <c r="F90" s="195"/>
      <c r="G90" s="234"/>
    </row>
    <row r="91" spans="2:7" ht="15">
      <c r="B91" s="211"/>
      <c r="C91" s="47"/>
      <c r="D91" s="233"/>
      <c r="E91" s="233"/>
      <c r="F91" s="195"/>
      <c r="G91" s="195"/>
    </row>
    <row r="92" spans="2:7" ht="15">
      <c r="B92" s="211"/>
      <c r="C92" s="47"/>
      <c r="D92" s="233"/>
      <c r="E92" s="233"/>
      <c r="F92" s="195"/>
      <c r="G92" s="195"/>
    </row>
    <row r="93" spans="2:7" ht="15">
      <c r="B93" s="211"/>
      <c r="C93" s="47"/>
      <c r="D93" s="233"/>
      <c r="E93" s="233"/>
      <c r="F93" s="195"/>
      <c r="G93" s="195"/>
    </row>
    <row r="94" spans="2:7" ht="30" customHeight="1">
      <c r="B94" s="212"/>
      <c r="C94" s="235"/>
      <c r="D94" s="236"/>
      <c r="E94" s="236"/>
      <c r="F94" s="237"/>
      <c r="G94" s="237"/>
    </row>
  </sheetData>
  <sheetProtection password="F3BA" sheet="1" objects="1" scenarios="1"/>
  <protectedRanges>
    <protectedRange sqref="F20:F26" name="Range1"/>
    <protectedRange sqref="F28" name="Range2"/>
    <protectedRange sqref="F33" name="Range3"/>
    <protectedRange sqref="F40:F44" name="Range4"/>
    <protectedRange sqref="F55:F56 F58:F60 F66:F69 F90:F94 F71:F72 F80 F77:F78 F82" name="Range5"/>
  </protectedRanges>
  <dataConsolidate/>
  <mergeCells count="1">
    <mergeCell ref="B6:E6"/>
  </mergeCells>
  <pageMargins left="0.70866141732283472" right="0.70866141732283472" top="0.74803149606299213" bottom="0.74803149606299213" header="0.31496062992125984" footer="0.31496062992125984"/>
  <pageSetup paperSize="9" scale="39" fitToHeight="2" orientation="landscape" r:id="rId1"/>
  <headerFooter>
    <oddFooter>&amp;LCosting template: Familial breast cancer</oddFooter>
  </headerFooter>
  <rowBreaks count="2" manualBreakCount="2">
    <brk id="38" min="1" max="20" man="1"/>
    <brk id="83" min="1" max="20" man="1"/>
  </rowBreaks>
  <drawing r:id="rId2"/>
</worksheet>
</file>

<file path=xl/worksheets/sheet6.xml><?xml version="1.0" encoding="utf-8"?>
<worksheet xmlns="http://schemas.openxmlformats.org/spreadsheetml/2006/main" xmlns:r="http://schemas.openxmlformats.org/officeDocument/2006/relationships">
  <sheetPr>
    <pageSetUpPr fitToPage="1"/>
  </sheetPr>
  <dimension ref="A1:Q68"/>
  <sheetViews>
    <sheetView showGridLines="0" workbookViewId="0">
      <selection activeCell="C24" sqref="C24:F24"/>
    </sheetView>
  </sheetViews>
  <sheetFormatPr defaultRowHeight="15.75"/>
  <cols>
    <col min="1" max="1" width="3.28515625" style="18" customWidth="1"/>
    <col min="2" max="2" width="7.7109375" style="23" customWidth="1"/>
    <col min="3" max="3" width="89.140625" style="23" customWidth="1"/>
    <col min="4" max="4" width="11.85546875" style="16" customWidth="1"/>
    <col min="5" max="5" width="25.140625" style="37" customWidth="1"/>
    <col min="6" max="6" width="15.7109375" style="17" bestFit="1" customWidth="1"/>
    <col min="7" max="7" width="2.42578125" style="18" customWidth="1"/>
    <col min="8" max="8" width="9" style="18" customWidth="1"/>
    <col min="9" max="9" width="16.42578125" style="18" customWidth="1"/>
    <col min="10" max="10" width="7.140625" style="18" customWidth="1"/>
    <col min="11" max="11" width="10.5703125" style="18" customWidth="1"/>
    <col min="12" max="12" width="12" style="18" customWidth="1"/>
    <col min="13" max="13" width="10" style="18" bestFit="1" customWidth="1"/>
    <col min="14" max="17" width="11.85546875" style="18" bestFit="1" customWidth="1"/>
    <col min="18" max="20" width="10" style="18" bestFit="1" customWidth="1"/>
    <col min="21" max="16384" width="9.140625" style="18"/>
  </cols>
  <sheetData>
    <row r="1" spans="1:17">
      <c r="A1" s="14"/>
      <c r="B1" s="15"/>
      <c r="C1" s="36"/>
    </row>
    <row r="2" spans="1:17">
      <c r="A2" s="14"/>
      <c r="B2" s="15"/>
      <c r="C2" s="36"/>
    </row>
    <row r="3" spans="1:17">
      <c r="A3" s="14"/>
      <c r="B3" s="15"/>
      <c r="C3" s="36"/>
    </row>
    <row r="4" spans="1:17">
      <c r="A4" s="14"/>
      <c r="B4" s="15"/>
      <c r="C4" s="36"/>
    </row>
    <row r="5" spans="1:17">
      <c r="A5" s="14"/>
      <c r="B5" s="15"/>
      <c r="C5" s="36"/>
    </row>
    <row r="6" spans="1:17" ht="16.5" thickBot="1">
      <c r="A6" s="14"/>
      <c r="B6" s="15"/>
      <c r="C6" s="36"/>
    </row>
    <row r="7" spans="1:17" ht="31.5" customHeight="1" thickBot="1">
      <c r="B7" s="19"/>
      <c r="C7" s="281" t="s">
        <v>173</v>
      </c>
      <c r="D7" s="282"/>
      <c r="E7" s="282"/>
      <c r="F7" s="283"/>
    </row>
    <row r="8" spans="1:17" ht="22.5" customHeight="1" thickBot="1">
      <c r="B8" s="4"/>
      <c r="C8" s="19"/>
      <c r="D8" s="20"/>
      <c r="E8" s="38"/>
      <c r="F8" s="21"/>
    </row>
    <row r="9" spans="1:17" s="3" customFormat="1" ht="54" customHeight="1" thickTop="1">
      <c r="B9" s="5"/>
      <c r="C9" s="290"/>
      <c r="D9" s="293" t="s">
        <v>120</v>
      </c>
      <c r="E9" s="294"/>
      <c r="F9" s="295"/>
    </row>
    <row r="10" spans="1:17" s="3" customFormat="1" ht="15.75" customHeight="1">
      <c r="B10" s="69"/>
      <c r="C10" s="291"/>
      <c r="D10" s="296" t="str">
        <f>'Select local population'!A5</f>
        <v>Select NHS board</v>
      </c>
      <c r="E10" s="297"/>
      <c r="F10" s="298"/>
      <c r="G10" s="13"/>
    </row>
    <row r="11" spans="1:17" s="9" customFormat="1" ht="30">
      <c r="B11" s="70"/>
      <c r="C11" s="292"/>
      <c r="D11" s="81" t="s">
        <v>4</v>
      </c>
      <c r="E11" s="82" t="s">
        <v>0</v>
      </c>
      <c r="F11" s="83" t="s">
        <v>5</v>
      </c>
    </row>
    <row r="12" spans="1:17">
      <c r="A12" s="3"/>
      <c r="B12" s="6"/>
      <c r="C12" s="65" t="s">
        <v>26</v>
      </c>
      <c r="D12" s="7"/>
      <c r="E12" s="39"/>
      <c r="F12" s="66"/>
      <c r="Q12" s="22"/>
    </row>
    <row r="13" spans="1:17" ht="20.100000000000001" customHeight="1">
      <c r="A13" s="3"/>
      <c r="B13" s="6"/>
      <c r="C13" s="67" t="s">
        <v>25</v>
      </c>
      <c r="D13" s="43"/>
      <c r="E13" s="43" t="str">
        <f>IF($D$10="Select NHS Board","",VLOOKUP($D$10,'Select local population'!$A$8:$Z$22,2,0))</f>
        <v/>
      </c>
      <c r="F13" s="68"/>
      <c r="Q13" s="22"/>
    </row>
    <row r="14" spans="1:17" ht="20.100000000000001" customHeight="1">
      <c r="A14" s="3"/>
      <c r="B14" s="6"/>
      <c r="C14" s="67" t="s">
        <v>170</v>
      </c>
      <c r="D14" s="7"/>
      <c r="E14" s="43" t="str">
        <f>IF($D$10="Select NHS Board","",VLOOKUP($D$10,'Select local population'!$A$8:$Z$22,4,0))</f>
        <v/>
      </c>
      <c r="F14" s="66"/>
    </row>
    <row r="15" spans="1:17" ht="5.0999999999999996" customHeight="1">
      <c r="A15" s="3"/>
      <c r="B15" s="6"/>
      <c r="C15" s="67"/>
      <c r="D15" s="7"/>
      <c r="E15" s="43"/>
      <c r="F15" s="66"/>
    </row>
    <row r="16" spans="1:17" ht="30" customHeight="1">
      <c r="A16" s="3"/>
      <c r="B16" s="10"/>
      <c r="C16" s="287" t="s">
        <v>171</v>
      </c>
      <c r="D16" s="288"/>
      <c r="E16" s="288"/>
      <c r="F16" s="289"/>
    </row>
    <row r="17" spans="1:6" ht="20.100000000000001" customHeight="1">
      <c r="A17" s="3"/>
      <c r="B17" s="10"/>
      <c r="C17" s="284" t="s">
        <v>1</v>
      </c>
      <c r="D17" s="285"/>
      <c r="E17" s="285"/>
      <c r="F17" s="286"/>
    </row>
    <row r="18" spans="1:6" ht="20.100000000000001" customHeight="1">
      <c r="A18" s="3"/>
      <c r="B18" s="10"/>
      <c r="C18" s="59" t="s">
        <v>172</v>
      </c>
      <c r="D18" s="52"/>
      <c r="E18" s="43" t="str">
        <f>IF($D$10="Select NHS Board","",VLOOKUP($D$10,'Select local population'!$A$8:$Z$22,5,0))</f>
        <v/>
      </c>
      <c r="F18" s="60"/>
    </row>
    <row r="19" spans="1:6" ht="20.100000000000001" customHeight="1">
      <c r="A19" s="3"/>
      <c r="B19" s="10"/>
      <c r="C19" s="59" t="s">
        <v>121</v>
      </c>
      <c r="D19" s="52"/>
      <c r="E19" s="43" t="str">
        <f>IF($D$10="Select NHS Board","",VLOOKUP($D$10,'Select local population'!$A$8:$Z$22,9,0))</f>
        <v/>
      </c>
      <c r="F19" s="61" t="str">
        <f>IF($D$10="Select NHS Board","",VLOOKUP($D$10,'Select local population'!$A$8:$Z$22,10,0))</f>
        <v/>
      </c>
    </row>
    <row r="20" spans="1:6" ht="20.100000000000001" customHeight="1">
      <c r="A20" s="3"/>
      <c r="B20" s="10"/>
      <c r="C20" s="284" t="s">
        <v>122</v>
      </c>
      <c r="D20" s="285"/>
      <c r="E20" s="285"/>
      <c r="F20" s="286"/>
    </row>
    <row r="21" spans="1:6" ht="20.100000000000001" customHeight="1">
      <c r="A21" s="3"/>
      <c r="B21" s="10"/>
      <c r="C21" s="59" t="s">
        <v>123</v>
      </c>
      <c r="D21" s="52"/>
      <c r="E21" s="43" t="str">
        <f>IF($D$10="Select NHS Board","",VLOOKUP($D$10,'Select local population'!$A$8:$Z$22,11,0))</f>
        <v/>
      </c>
      <c r="F21" s="60"/>
    </row>
    <row r="22" spans="1:6" ht="20.100000000000001" customHeight="1">
      <c r="A22" s="3"/>
      <c r="B22" s="10"/>
      <c r="C22" s="59" t="s">
        <v>124</v>
      </c>
      <c r="D22" s="52"/>
      <c r="E22" s="43" t="str">
        <f>IF($D$10="Select NHS Board","",VLOOKUP($D$10,'Select local population'!$A$8:$Z$22,14,0))</f>
        <v/>
      </c>
      <c r="F22" s="60"/>
    </row>
    <row r="23" spans="1:6" ht="20.100000000000001" customHeight="1">
      <c r="A23" s="3"/>
      <c r="B23" s="10"/>
      <c r="C23" s="62" t="s">
        <v>116</v>
      </c>
      <c r="D23" s="63" t="str">
        <f>IF($D$10="Select NHS Board","",VLOOKUP($D$10,'Select local population'!$A$8:$Z$22,15,0))</f>
        <v/>
      </c>
      <c r="E23" s="64" t="str">
        <f>IF($D$10="Select NHS Board","",VLOOKUP($D$10,'Select local population'!$A$8:$Z$22,6,0))</f>
        <v/>
      </c>
      <c r="F23" s="71" t="str">
        <f>IF(D10="Select NHS Board", "",D23*E23)</f>
        <v/>
      </c>
    </row>
    <row r="24" spans="1:6" ht="30" customHeight="1">
      <c r="A24" s="3"/>
      <c r="B24" s="10"/>
      <c r="C24" s="287" t="s">
        <v>174</v>
      </c>
      <c r="D24" s="288"/>
      <c r="E24" s="288"/>
      <c r="F24" s="289"/>
    </row>
    <row r="25" spans="1:6" ht="20.100000000000001" customHeight="1">
      <c r="A25" s="3"/>
      <c r="B25" s="10"/>
      <c r="C25" s="284" t="s">
        <v>1</v>
      </c>
      <c r="D25" s="285"/>
      <c r="E25" s="285"/>
      <c r="F25" s="286"/>
    </row>
    <row r="26" spans="1:6" ht="20.100000000000001" customHeight="1">
      <c r="A26" s="3"/>
      <c r="B26" s="10"/>
      <c r="C26" s="59" t="s">
        <v>125</v>
      </c>
      <c r="D26" s="52"/>
      <c r="E26" s="43" t="str">
        <f>IF($D$10="Select NHS Board","",VLOOKUP($D$10,'Select local population'!$A$8:$Z$22,17,0))</f>
        <v/>
      </c>
      <c r="F26" s="60"/>
    </row>
    <row r="27" spans="1:6" ht="20.100000000000001" customHeight="1">
      <c r="A27" s="3"/>
      <c r="B27" s="10"/>
      <c r="C27" s="59" t="s">
        <v>127</v>
      </c>
      <c r="D27" s="52"/>
      <c r="E27" s="43" t="str">
        <f>IF($D$10="Select NHS Board","",VLOOKUP($D$10,'Select local population'!$A$8:$Z$22,19,0))</f>
        <v/>
      </c>
      <c r="F27" s="61" t="str">
        <f>IF($D$10="Select NHS Board","",VLOOKUP($D$10,'Select local population'!$A$8:$Z$22,20,0))</f>
        <v/>
      </c>
    </row>
    <row r="28" spans="1:6" ht="20.100000000000001" customHeight="1">
      <c r="A28" s="3"/>
      <c r="B28" s="10"/>
      <c r="C28" s="284" t="s">
        <v>122</v>
      </c>
      <c r="D28" s="285"/>
      <c r="E28" s="285"/>
      <c r="F28" s="286"/>
    </row>
    <row r="29" spans="1:6" ht="20.100000000000001" customHeight="1">
      <c r="A29" s="3"/>
      <c r="B29" s="10"/>
      <c r="C29" s="59" t="s">
        <v>128</v>
      </c>
      <c r="D29" s="52"/>
      <c r="E29" s="43" t="str">
        <f>IF($D$10="Select NHS Board","",VLOOKUP($D$10,'Select local population'!$A$8:$Z$22,21,0))</f>
        <v/>
      </c>
      <c r="F29" s="60"/>
    </row>
    <row r="30" spans="1:6" ht="20.100000000000001" customHeight="1">
      <c r="A30" s="3"/>
      <c r="B30" s="10"/>
      <c r="C30" s="59" t="s">
        <v>129</v>
      </c>
      <c r="D30" s="52"/>
      <c r="E30" s="7" t="str">
        <f>IF($D$10="Select NHS Board","",VLOOKUP($D$10,'Select local population'!$A$8:$Z$22,23,0))</f>
        <v/>
      </c>
      <c r="F30" s="60"/>
    </row>
    <row r="31" spans="1:6" ht="20.100000000000001" customHeight="1">
      <c r="A31" s="3"/>
      <c r="B31" s="10"/>
      <c r="C31" s="62" t="s">
        <v>116</v>
      </c>
      <c r="D31" s="63" t="str">
        <f>IF($D$10="Select NHS Board","",VLOOKUP($D$10,'Select local population'!$A$8:$Z$22,24,0))</f>
        <v/>
      </c>
      <c r="E31" s="64" t="str">
        <f>IF($D$10="Select NHS Board","",VLOOKUP($D$10,'Select local population'!$A$8:$Z$22,6,0))</f>
        <v/>
      </c>
      <c r="F31" s="71" t="str">
        <f>IF(D10="Select NHS Board", "",D31*E31)</f>
        <v/>
      </c>
    </row>
    <row r="32" spans="1:6" ht="30" customHeight="1" thickBot="1">
      <c r="A32" s="3"/>
      <c r="B32" s="10"/>
      <c r="C32" s="278" t="s">
        <v>22</v>
      </c>
      <c r="D32" s="279"/>
      <c r="E32" s="279"/>
      <c r="F32" s="280" t="str">
        <f>IF(D10="Select NHS Board", "",F23+F31)</f>
        <v/>
      </c>
    </row>
    <row r="33" spans="1:6" ht="16.5" thickTop="1">
      <c r="A33" s="3"/>
      <c r="B33" s="10"/>
      <c r="C33" s="52"/>
      <c r="D33" s="52"/>
      <c r="E33" s="52"/>
      <c r="F33" s="52"/>
    </row>
    <row r="34" spans="1:6" ht="12.75" customHeight="1">
      <c r="A34" s="3"/>
      <c r="B34" s="11"/>
      <c r="C34" s="11"/>
      <c r="D34" s="32"/>
      <c r="E34" s="40"/>
      <c r="F34" s="12"/>
    </row>
    <row r="35" spans="1:6" ht="12.75" customHeight="1">
      <c r="A35" s="3"/>
      <c r="B35" s="11"/>
      <c r="C35" s="11"/>
      <c r="D35" s="32"/>
      <c r="E35" s="40"/>
      <c r="F35" s="12"/>
    </row>
    <row r="36" spans="1:6" ht="12.75" customHeight="1">
      <c r="A36" s="3"/>
      <c r="B36" s="11"/>
      <c r="C36" s="11"/>
      <c r="D36" s="32"/>
      <c r="E36" s="40"/>
      <c r="F36" s="12"/>
    </row>
    <row r="37" spans="1:6" ht="12.75" customHeight="1">
      <c r="A37" s="3"/>
      <c r="B37" s="11"/>
      <c r="C37" s="11"/>
      <c r="D37" s="32"/>
      <c r="E37" s="40"/>
      <c r="F37" s="12"/>
    </row>
    <row r="38" spans="1:6" ht="12.75" customHeight="1">
      <c r="A38" s="3"/>
      <c r="B38" s="11"/>
      <c r="C38" s="11"/>
      <c r="D38" s="32"/>
      <c r="E38" s="40"/>
      <c r="F38" s="12"/>
    </row>
    <row r="39" spans="1:6" ht="12.75" customHeight="1">
      <c r="A39" s="3"/>
      <c r="B39" s="11"/>
      <c r="C39" s="11"/>
      <c r="D39" s="32"/>
      <c r="E39" s="40"/>
      <c r="F39" s="12"/>
    </row>
    <row r="40" spans="1:6" ht="12.75" customHeight="1">
      <c r="B40" s="11"/>
      <c r="C40" s="11"/>
      <c r="D40" s="32"/>
      <c r="E40" s="40"/>
      <c r="F40" s="12"/>
    </row>
    <row r="41" spans="1:6" ht="12.75" customHeight="1">
      <c r="C41" s="11"/>
      <c r="D41" s="32"/>
      <c r="E41" s="40"/>
      <c r="F41" s="12"/>
    </row>
    <row r="42" spans="1:6" ht="12.75" customHeight="1">
      <c r="C42" s="11"/>
      <c r="D42" s="32"/>
      <c r="E42" s="40"/>
      <c r="F42" s="12"/>
    </row>
    <row r="43" spans="1:6" ht="12.75" customHeight="1">
      <c r="C43" s="11"/>
      <c r="D43" s="32"/>
      <c r="E43" s="40"/>
      <c r="F43" s="12"/>
    </row>
    <row r="44" spans="1:6" ht="12.75" customHeight="1">
      <c r="B44" s="18"/>
      <c r="C44" s="11"/>
      <c r="D44" s="32"/>
      <c r="E44" s="40"/>
      <c r="F44" s="12"/>
    </row>
    <row r="45" spans="1:6" ht="12.75" customHeight="1">
      <c r="B45" s="18"/>
      <c r="C45" s="11"/>
      <c r="D45" s="32"/>
      <c r="E45" s="40"/>
      <c r="F45" s="12"/>
    </row>
    <row r="46" spans="1:6" ht="12.75" customHeight="1">
      <c r="B46" s="18"/>
      <c r="C46" s="11"/>
      <c r="D46" s="32"/>
      <c r="E46" s="40"/>
      <c r="F46" s="12"/>
    </row>
    <row r="47" spans="1:6" ht="12.75" customHeight="1">
      <c r="B47" s="18"/>
      <c r="C47" s="11"/>
      <c r="D47" s="32"/>
      <c r="E47" s="40"/>
      <c r="F47" s="12"/>
    </row>
    <row r="48" spans="1:6" ht="12.75" customHeight="1">
      <c r="B48" s="18"/>
      <c r="C48" s="11"/>
      <c r="D48" s="32"/>
      <c r="E48" s="40"/>
      <c r="F48" s="12"/>
    </row>
    <row r="49" spans="2:6" ht="12.75" customHeight="1">
      <c r="B49" s="18"/>
      <c r="C49" s="11"/>
      <c r="D49" s="32"/>
      <c r="E49" s="40"/>
      <c r="F49" s="12"/>
    </row>
    <row r="50" spans="2:6" ht="12.75" customHeight="1">
      <c r="B50" s="18"/>
      <c r="C50" s="11"/>
      <c r="D50" s="32"/>
      <c r="E50" s="40"/>
      <c r="F50" s="12"/>
    </row>
    <row r="51" spans="2:6" ht="12.75" customHeight="1">
      <c r="B51" s="18"/>
      <c r="C51" s="11"/>
      <c r="D51" s="32"/>
      <c r="E51" s="40"/>
      <c r="F51" s="12"/>
    </row>
    <row r="52" spans="2:6" ht="12.75" customHeight="1">
      <c r="B52" s="18"/>
      <c r="C52" s="11"/>
      <c r="D52" s="32"/>
      <c r="E52" s="40"/>
      <c r="F52" s="12"/>
    </row>
    <row r="53" spans="2:6" ht="12.75" customHeight="1">
      <c r="B53" s="18"/>
      <c r="C53" s="11"/>
      <c r="D53" s="32"/>
      <c r="E53" s="40"/>
      <c r="F53" s="12"/>
    </row>
    <row r="54" spans="2:6" ht="12.75" customHeight="1">
      <c r="B54" s="18"/>
      <c r="C54" s="11"/>
      <c r="D54" s="32"/>
      <c r="E54" s="40"/>
      <c r="F54" s="12"/>
    </row>
    <row r="55" spans="2:6" ht="12.75" customHeight="1">
      <c r="B55" s="18"/>
      <c r="C55" s="11"/>
      <c r="D55" s="32"/>
      <c r="E55" s="40"/>
      <c r="F55" s="12"/>
    </row>
    <row r="56" spans="2:6" ht="12.75" customHeight="1">
      <c r="B56" s="18"/>
      <c r="C56" s="11"/>
      <c r="D56" s="32"/>
      <c r="E56" s="40"/>
      <c r="F56" s="12"/>
    </row>
    <row r="57" spans="2:6" ht="12.75" customHeight="1">
      <c r="B57" s="18"/>
      <c r="C57" s="11"/>
      <c r="D57" s="32"/>
      <c r="E57" s="40"/>
      <c r="F57" s="12"/>
    </row>
    <row r="58" spans="2:6" ht="12.75" customHeight="1">
      <c r="B58" s="18"/>
      <c r="C58" s="11"/>
      <c r="D58" s="32"/>
      <c r="E58" s="40"/>
      <c r="F58" s="12"/>
    </row>
    <row r="59" spans="2:6" ht="12.75" customHeight="1">
      <c r="B59" s="18"/>
      <c r="C59" s="11"/>
      <c r="D59" s="32"/>
      <c r="E59" s="40"/>
      <c r="F59" s="12"/>
    </row>
    <row r="60" spans="2:6" ht="12.75" customHeight="1">
      <c r="B60" s="18"/>
      <c r="C60" s="11"/>
      <c r="D60" s="32"/>
      <c r="E60" s="40"/>
      <c r="F60" s="12"/>
    </row>
    <row r="61" spans="2:6" ht="12.75" customHeight="1">
      <c r="B61" s="18"/>
      <c r="C61" s="11"/>
      <c r="D61" s="32"/>
      <c r="E61" s="40"/>
      <c r="F61" s="12"/>
    </row>
    <row r="62" spans="2:6" ht="12.75" customHeight="1">
      <c r="B62" s="18"/>
      <c r="C62" s="11"/>
      <c r="D62" s="32"/>
      <c r="E62" s="40"/>
      <c r="F62" s="12"/>
    </row>
    <row r="63" spans="2:6" ht="12.75" customHeight="1">
      <c r="B63" s="18"/>
      <c r="C63" s="11"/>
      <c r="D63" s="32"/>
      <c r="E63" s="40"/>
      <c r="F63" s="12"/>
    </row>
    <row r="64" spans="2:6" ht="12.75" customHeight="1">
      <c r="B64" s="18"/>
      <c r="C64" s="11"/>
      <c r="D64" s="32"/>
      <c r="E64" s="40"/>
      <c r="F64" s="12"/>
    </row>
    <row r="65" spans="2:6" ht="12.75" customHeight="1">
      <c r="B65" s="18"/>
      <c r="C65" s="11"/>
      <c r="D65" s="32"/>
      <c r="E65" s="40"/>
      <c r="F65" s="12"/>
    </row>
    <row r="66" spans="2:6">
      <c r="B66" s="18"/>
      <c r="C66" s="11"/>
      <c r="D66" s="32"/>
      <c r="E66" s="40"/>
      <c r="F66" s="12"/>
    </row>
    <row r="67" spans="2:6">
      <c r="B67" s="18"/>
      <c r="C67" s="11"/>
      <c r="D67" s="32"/>
      <c r="E67" s="40"/>
      <c r="F67" s="12"/>
    </row>
    <row r="68" spans="2:6">
      <c r="B68" s="18"/>
      <c r="C68" s="11"/>
      <c r="D68" s="32"/>
      <c r="E68" s="40"/>
      <c r="F68" s="12"/>
    </row>
  </sheetData>
  <sheetProtection password="F3BA" sheet="1" objects="1" scenarios="1"/>
  <mergeCells count="11">
    <mergeCell ref="C32:F32"/>
    <mergeCell ref="C7:F7"/>
    <mergeCell ref="C25:F25"/>
    <mergeCell ref="C24:F24"/>
    <mergeCell ref="C9:C11"/>
    <mergeCell ref="C28:F28"/>
    <mergeCell ref="C17:F17"/>
    <mergeCell ref="D9:F9"/>
    <mergeCell ref="D10:F10"/>
    <mergeCell ref="C16:F16"/>
    <mergeCell ref="C20:F20"/>
  </mergeCells>
  <pageMargins left="0.70866141732283472" right="0.70866141732283472" top="0.74803149606299213" bottom="0.74803149606299213" header="0.31496062992125984" footer="0.31496062992125984"/>
  <pageSetup paperSize="9" scale="49" fitToHeight="2" orientation="portrait" r:id="rId1"/>
  <headerFooter>
    <oddFooter>&amp;LCosting template: Familial breast cancer</oddFooter>
  </headerFooter>
  <drawing r:id="rId2"/>
</worksheet>
</file>

<file path=xl/worksheets/sheet7.xml><?xml version="1.0" encoding="utf-8"?>
<worksheet xmlns="http://schemas.openxmlformats.org/spreadsheetml/2006/main" xmlns:r="http://schemas.openxmlformats.org/officeDocument/2006/relationships">
  <dimension ref="A7:I20"/>
  <sheetViews>
    <sheetView workbookViewId="0">
      <selection activeCell="A11" sqref="A11"/>
    </sheetView>
  </sheetViews>
  <sheetFormatPr defaultRowHeight="14.25"/>
  <cols>
    <col min="1" max="1" width="61.140625" style="8" customWidth="1"/>
    <col min="2" max="2" width="21.28515625" style="8" customWidth="1"/>
    <col min="3" max="3" width="32" style="8" customWidth="1"/>
    <col min="4" max="16384" width="9.140625" style="8"/>
  </cols>
  <sheetData>
    <row r="7" spans="1:9" ht="15" thickBot="1">
      <c r="G7" s="42"/>
    </row>
    <row r="8" spans="1:9" ht="37.5" customHeight="1" thickBot="1">
      <c r="A8" s="299" t="s">
        <v>21</v>
      </c>
      <c r="B8" s="300"/>
      <c r="C8" s="301"/>
      <c r="D8" s="25"/>
      <c r="E8" s="25"/>
      <c r="F8" s="25"/>
      <c r="G8" s="42"/>
      <c r="I8" s="42"/>
    </row>
    <row r="9" spans="1:9" ht="31.5" customHeight="1" thickBot="1">
      <c r="G9" s="42"/>
      <c r="I9" s="42"/>
    </row>
    <row r="10" spans="1:9" s="24" customFormat="1" ht="30" customHeight="1">
      <c r="A10" s="84" t="s">
        <v>23</v>
      </c>
      <c r="B10" s="85" t="s">
        <v>3</v>
      </c>
      <c r="C10" s="85" t="str">
        <f>'Select local population'!A5</f>
        <v>Select NHS board</v>
      </c>
      <c r="G10" s="42"/>
      <c r="I10" s="42"/>
    </row>
    <row r="11" spans="1:9" ht="20.100000000000001" customHeight="1">
      <c r="A11" s="27" t="s">
        <v>175</v>
      </c>
      <c r="B11" s="33">
        <f>'Select local population'!$P$22</f>
        <v>44090.846919558782</v>
      </c>
      <c r="C11" s="30" t="str">
        <f>'Costing template'!$F$23</f>
        <v/>
      </c>
      <c r="G11" s="42"/>
      <c r="I11" s="42"/>
    </row>
    <row r="12" spans="1:9" ht="20.100000000000001" customHeight="1">
      <c r="A12" s="28" t="s">
        <v>130</v>
      </c>
      <c r="B12" s="34">
        <f>'Select local population'!$Y$22</f>
        <v>74652.760290556907</v>
      </c>
      <c r="C12" s="26" t="str">
        <f>'Costing template'!$F$31</f>
        <v/>
      </c>
      <c r="G12" s="42"/>
      <c r="I12" s="42"/>
    </row>
    <row r="13" spans="1:9" ht="30" customHeight="1" thickBot="1">
      <c r="A13" s="29" t="s">
        <v>22</v>
      </c>
      <c r="B13" s="35">
        <f>SUM(B11:B12)</f>
        <v>118743.60721011569</v>
      </c>
      <c r="C13" s="31">
        <f>SUM(C11:C12)</f>
        <v>0</v>
      </c>
      <c r="G13" s="42"/>
      <c r="I13" s="42"/>
    </row>
    <row r="14" spans="1:9">
      <c r="G14" s="42"/>
      <c r="I14" s="42"/>
    </row>
    <row r="15" spans="1:9">
      <c r="G15" s="42"/>
      <c r="I15" s="42"/>
    </row>
    <row r="16" spans="1:9">
      <c r="G16" s="42"/>
      <c r="I16" s="42"/>
    </row>
    <row r="17" spans="7:9">
      <c r="G17" s="42"/>
      <c r="I17" s="42"/>
    </row>
    <row r="18" spans="7:9">
      <c r="G18" s="42"/>
      <c r="I18" s="42"/>
    </row>
    <row r="19" spans="7:9">
      <c r="G19" s="42"/>
      <c r="I19" s="42"/>
    </row>
    <row r="20" spans="7:9">
      <c r="I20" s="42"/>
    </row>
  </sheetData>
  <sheetProtection password="F3BA" sheet="1" objects="1" scenarios="1"/>
  <mergeCells count="1">
    <mergeCell ref="A8:C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L118"/>
  <sheetViews>
    <sheetView workbookViewId="0">
      <selection activeCell="G19" sqref="G19"/>
    </sheetView>
  </sheetViews>
  <sheetFormatPr defaultRowHeight="14.25"/>
  <cols>
    <col min="1" max="1" width="19.5703125" style="2" customWidth="1"/>
    <col min="2" max="2" width="9.5703125" style="2" bestFit="1" customWidth="1"/>
    <col min="3" max="16384" width="9.140625" style="2"/>
  </cols>
  <sheetData>
    <row r="1" spans="1:12" ht="23.25">
      <c r="A1" s="53" t="s">
        <v>99</v>
      </c>
    </row>
    <row r="3" spans="1:12">
      <c r="A3" s="2" t="s">
        <v>100</v>
      </c>
    </row>
    <row r="4" spans="1:12" ht="15">
      <c r="I4" t="s">
        <v>103</v>
      </c>
      <c r="L4" s="56">
        <v>1.25</v>
      </c>
    </row>
    <row r="5" spans="1:12">
      <c r="A5" s="2" t="s">
        <v>34</v>
      </c>
    </row>
    <row r="6" spans="1:12">
      <c r="A6" s="2" t="s">
        <v>35</v>
      </c>
    </row>
    <row r="7" spans="1:12">
      <c r="A7" s="2" t="s">
        <v>36</v>
      </c>
    </row>
    <row r="8" spans="1:12" ht="15">
      <c r="I8"/>
    </row>
    <row r="9" spans="1:12" ht="17.25">
      <c r="A9" s="54" t="s">
        <v>37</v>
      </c>
      <c r="I9" s="55"/>
    </row>
    <row r="11" spans="1:12">
      <c r="A11" s="2" t="s">
        <v>34</v>
      </c>
    </row>
    <row r="12" spans="1:12">
      <c r="A12" s="2" t="s">
        <v>35</v>
      </c>
    </row>
    <row r="13" spans="1:12">
      <c r="A13" s="2" t="s">
        <v>36</v>
      </c>
    </row>
    <row r="14" spans="1:12">
      <c r="A14" s="2" t="s">
        <v>38</v>
      </c>
    </row>
    <row r="15" spans="1:12">
      <c r="A15" s="2" t="s">
        <v>39</v>
      </c>
    </row>
    <row r="16" spans="1:12">
      <c r="A16" s="2" t="s">
        <v>40</v>
      </c>
    </row>
    <row r="17" spans="1:1">
      <c r="A17" s="2" t="s">
        <v>41</v>
      </c>
    </row>
    <row r="18" spans="1:1">
      <c r="A18" s="2" t="s">
        <v>42</v>
      </c>
    </row>
    <row r="20" spans="1:1" ht="17.25">
      <c r="A20" s="54" t="s">
        <v>43</v>
      </c>
    </row>
    <row r="22" spans="1:1">
      <c r="A22" s="2" t="s">
        <v>40</v>
      </c>
    </row>
    <row r="23" spans="1:1">
      <c r="A23" s="2" t="s">
        <v>41</v>
      </c>
    </row>
    <row r="24" spans="1:1">
      <c r="A24" s="2" t="s">
        <v>42</v>
      </c>
    </row>
    <row r="25" spans="1:1">
      <c r="A25" s="2" t="s">
        <v>44</v>
      </c>
    </row>
    <row r="26" spans="1:1">
      <c r="A26" s="2" t="s">
        <v>45</v>
      </c>
    </row>
    <row r="27" spans="1:1">
      <c r="A27" s="2" t="s">
        <v>46</v>
      </c>
    </row>
    <row r="28" spans="1:1">
      <c r="A28" s="2" t="s">
        <v>47</v>
      </c>
    </row>
    <row r="30" spans="1:1" ht="17.25">
      <c r="A30" s="54" t="s">
        <v>48</v>
      </c>
    </row>
    <row r="32" spans="1:1">
      <c r="A32" s="2" t="s">
        <v>46</v>
      </c>
    </row>
    <row r="33" spans="1:3">
      <c r="A33" s="2" t="s">
        <v>47</v>
      </c>
    </row>
    <row r="34" spans="1:3">
      <c r="A34" s="2" t="s">
        <v>49</v>
      </c>
    </row>
    <row r="35" spans="1:3">
      <c r="A35" s="2" t="s">
        <v>50</v>
      </c>
    </row>
    <row r="36" spans="1:3">
      <c r="A36" s="2" t="s">
        <v>51</v>
      </c>
      <c r="C36" s="57">
        <f>21265*L4</f>
        <v>26581.25</v>
      </c>
    </row>
    <row r="37" spans="1:3">
      <c r="A37" s="2" t="s">
        <v>52</v>
      </c>
    </row>
    <row r="38" spans="1:3">
      <c r="A38" s="2" t="s">
        <v>53</v>
      </c>
    </row>
    <row r="40" spans="1:3" ht="17.25">
      <c r="A40" s="54" t="s">
        <v>54</v>
      </c>
    </row>
    <row r="42" spans="1:3">
      <c r="A42" s="2" t="s">
        <v>52</v>
      </c>
    </row>
    <row r="43" spans="1:3">
      <c r="A43" s="2" t="s">
        <v>53</v>
      </c>
    </row>
    <row r="44" spans="1:3">
      <c r="A44" s="2" t="s">
        <v>55</v>
      </c>
    </row>
    <row r="45" spans="1:3">
      <c r="A45" s="2" t="s">
        <v>56</v>
      </c>
    </row>
    <row r="46" spans="1:3">
      <c r="A46" s="2" t="s">
        <v>57</v>
      </c>
    </row>
    <row r="47" spans="1:3">
      <c r="A47" s="2" t="s">
        <v>58</v>
      </c>
    </row>
    <row r="48" spans="1:3">
      <c r="A48" s="2" t="s">
        <v>59</v>
      </c>
    </row>
    <row r="49" spans="1:1">
      <c r="A49" s="2" t="s">
        <v>60</v>
      </c>
    </row>
    <row r="51" spans="1:1" ht="17.25">
      <c r="A51" s="54" t="s">
        <v>61</v>
      </c>
    </row>
    <row r="53" spans="1:1">
      <c r="A53" s="2" t="s">
        <v>58</v>
      </c>
    </row>
    <row r="54" spans="1:1">
      <c r="A54" s="2" t="s">
        <v>59</v>
      </c>
    </row>
    <row r="55" spans="1:1">
      <c r="A55" s="2" t="s">
        <v>60</v>
      </c>
    </row>
    <row r="56" spans="1:1">
      <c r="A56" s="2" t="s">
        <v>62</v>
      </c>
    </row>
    <row r="57" spans="1:1">
      <c r="A57" s="2" t="s">
        <v>63</v>
      </c>
    </row>
    <row r="58" spans="1:1">
      <c r="A58" s="2" t="s">
        <v>64</v>
      </c>
    </row>
    <row r="59" spans="1:1">
      <c r="A59" s="2" t="s">
        <v>65</v>
      </c>
    </row>
    <row r="60" spans="1:1">
      <c r="A60" s="2" t="s">
        <v>66</v>
      </c>
    </row>
    <row r="61" spans="1:1">
      <c r="A61" s="2" t="s">
        <v>67</v>
      </c>
    </row>
    <row r="63" spans="1:1" ht="17.25">
      <c r="A63" s="54" t="s">
        <v>68</v>
      </c>
    </row>
    <row r="65" spans="1:2">
      <c r="A65" s="2" t="s">
        <v>64</v>
      </c>
    </row>
    <row r="66" spans="1:2">
      <c r="A66" s="2" t="s">
        <v>65</v>
      </c>
    </row>
    <row r="67" spans="1:2">
      <c r="A67" s="2" t="s">
        <v>66</v>
      </c>
    </row>
    <row r="68" spans="1:2">
      <c r="A68" s="2" t="s">
        <v>67</v>
      </c>
    </row>
    <row r="69" spans="1:2">
      <c r="A69" s="2" t="s">
        <v>69</v>
      </c>
    </row>
    <row r="70" spans="1:2">
      <c r="A70" s="2" t="s">
        <v>70</v>
      </c>
    </row>
    <row r="71" spans="1:2">
      <c r="A71" s="2" t="s">
        <v>71</v>
      </c>
      <c r="B71" s="57">
        <f>37921*L4</f>
        <v>47401.25</v>
      </c>
    </row>
    <row r="72" spans="1:2">
      <c r="A72" s="2" t="s">
        <v>72</v>
      </c>
    </row>
    <row r="73" spans="1:2">
      <c r="A73" s="2" t="s">
        <v>73</v>
      </c>
    </row>
    <row r="75" spans="1:2" ht="17.25">
      <c r="A75" s="54" t="s">
        <v>74</v>
      </c>
    </row>
    <row r="77" spans="1:2">
      <c r="A77" s="2" t="s">
        <v>72</v>
      </c>
    </row>
    <row r="78" spans="1:2">
      <c r="A78" s="2" t="s">
        <v>73</v>
      </c>
    </row>
    <row r="79" spans="1:2">
      <c r="A79" s="2" t="s">
        <v>75</v>
      </c>
    </row>
    <row r="80" spans="1:2">
      <c r="A80" s="2" t="s">
        <v>76</v>
      </c>
    </row>
    <row r="81" spans="1:1">
      <c r="A81" s="2" t="s">
        <v>77</v>
      </c>
    </row>
    <row r="82" spans="1:1">
      <c r="A82" s="2" t="s">
        <v>78</v>
      </c>
    </row>
    <row r="84" spans="1:1" ht="17.25">
      <c r="A84" s="54" t="s">
        <v>79</v>
      </c>
    </row>
    <row r="86" spans="1:1">
      <c r="A86" s="2" t="s">
        <v>77</v>
      </c>
    </row>
    <row r="87" spans="1:1">
      <c r="A87" s="2" t="s">
        <v>78</v>
      </c>
    </row>
    <row r="88" spans="1:1">
      <c r="A88" s="2" t="s">
        <v>80</v>
      </c>
    </row>
    <row r="89" spans="1:1">
      <c r="A89" s="2" t="s">
        <v>81</v>
      </c>
    </row>
    <row r="90" spans="1:1">
      <c r="A90" s="2" t="s">
        <v>82</v>
      </c>
    </row>
    <row r="91" spans="1:1">
      <c r="A91" s="2" t="s">
        <v>83</v>
      </c>
    </row>
    <row r="93" spans="1:1" ht="17.25">
      <c r="A93" s="54" t="s">
        <v>84</v>
      </c>
    </row>
    <row r="95" spans="1:1">
      <c r="A95" s="2" t="s">
        <v>82</v>
      </c>
    </row>
    <row r="96" spans="1:1">
      <c r="A96" s="2" t="s">
        <v>83</v>
      </c>
    </row>
    <row r="97" spans="1:1">
      <c r="A97" s="2" t="s">
        <v>85</v>
      </c>
    </row>
    <row r="98" spans="1:1">
      <c r="A98" s="2" t="s">
        <v>86</v>
      </c>
    </row>
    <row r="99" spans="1:1">
      <c r="A99" s="2" t="s">
        <v>87</v>
      </c>
    </row>
    <row r="100" spans="1:1">
      <c r="A100" s="2" t="s">
        <v>88</v>
      </c>
    </row>
    <row r="102" spans="1:1" ht="17.25">
      <c r="A102" s="54" t="s">
        <v>89</v>
      </c>
    </row>
    <row r="104" spans="1:1">
      <c r="A104" s="2" t="s">
        <v>87</v>
      </c>
    </row>
    <row r="105" spans="1:1">
      <c r="A105" s="2" t="s">
        <v>88</v>
      </c>
    </row>
    <row r="106" spans="1:1">
      <c r="A106" s="2" t="s">
        <v>90</v>
      </c>
    </row>
    <row r="107" spans="1:1">
      <c r="A107" s="2" t="s">
        <v>91</v>
      </c>
    </row>
    <row r="108" spans="1:1">
      <c r="A108" s="2" t="s">
        <v>92</v>
      </c>
    </row>
    <row r="109" spans="1:1">
      <c r="A109" s="2" t="s">
        <v>93</v>
      </c>
    </row>
    <row r="111" spans="1:1" ht="17.25">
      <c r="A111" s="54" t="s">
        <v>94</v>
      </c>
    </row>
    <row r="113" spans="1:2">
      <c r="A113" s="2" t="s">
        <v>92</v>
      </c>
    </row>
    <row r="114" spans="1:2">
      <c r="A114" s="2" t="s">
        <v>93</v>
      </c>
    </row>
    <row r="115" spans="1:2">
      <c r="A115" s="2" t="s">
        <v>95</v>
      </c>
    </row>
    <row r="116" spans="1:2">
      <c r="A116" s="2" t="s">
        <v>96</v>
      </c>
      <c r="B116" s="57">
        <f>89640*L4</f>
        <v>112050</v>
      </c>
    </row>
    <row r="117" spans="1:2">
      <c r="A117" s="2" t="s">
        <v>97</v>
      </c>
    </row>
    <row r="118" spans="1:2">
      <c r="A118" s="2"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Cover page</vt:lpstr>
      <vt:lpstr>Instructions</vt:lpstr>
      <vt:lpstr>Recommendations</vt:lpstr>
      <vt:lpstr>Select local population</vt:lpstr>
      <vt:lpstr>Unit costs</vt:lpstr>
      <vt:lpstr>Costing template</vt:lpstr>
      <vt:lpstr>Cost summary</vt:lpstr>
      <vt:lpstr>AFC pay</vt:lpstr>
      <vt:lpstr>Chemo_annual_increase</vt:lpstr>
      <vt:lpstr>Chemoprevention_uptake</vt:lpstr>
      <vt:lpstr>Cur_offered_GT</vt:lpstr>
      <vt:lpstr>Current_mammography</vt:lpstr>
      <vt:lpstr>Current_mammography_18monthly</vt:lpstr>
      <vt:lpstr>Current_MRI</vt:lpstr>
      <vt:lpstr>Future_mammography</vt:lpstr>
      <vt:lpstr>Future_MRI</vt:lpstr>
      <vt:lpstr>Not_currently_offered_GT</vt:lpstr>
      <vt:lpstr>'Costing template'!Print_Area</vt:lpstr>
      <vt:lpstr>'Unit costs'!Print_Area</vt:lpstr>
      <vt:lpstr>Proportion_dense</vt:lpstr>
      <vt:lpstr>Receive_chemo_five_years</vt:lpstr>
      <vt:lpstr>Stop_chemo_after_one_year</vt:lpstr>
      <vt:lpstr>Uptake_genetic_testing</vt:lpstr>
    </vt:vector>
  </TitlesOfParts>
  <Company>NICE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Pearson</dc:creator>
  <cp:lastModifiedBy>lisaw</cp:lastModifiedBy>
  <cp:lastPrinted>2014-08-29T11:15:58Z</cp:lastPrinted>
  <dcterms:created xsi:type="dcterms:W3CDTF">2011-01-20T09:43:18Z</dcterms:created>
  <dcterms:modified xsi:type="dcterms:W3CDTF">2015-02-18T11:05:24Z</dcterms:modified>
</cp:coreProperties>
</file>