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ackupFile="1" codeName="ThisWorkbook" defaultThemeVersion="124226"/>
  <bookViews>
    <workbookView xWindow="-15" yWindow="-15" windowWidth="15480" windowHeight="6195" tabRatio="590"/>
  </bookViews>
  <sheets>
    <sheet name="Title page" sheetId="6" r:id="rId1"/>
    <sheet name="How to use this document " sheetId="38" r:id="rId2"/>
    <sheet name="Recommendations" sheetId="21" r:id="rId3"/>
    <sheet name="STEP 1.Select NHS Board" sheetId="9" r:id="rId4"/>
    <sheet name="STEP 2. Education" sheetId="33" r:id="rId5"/>
    <sheet name="Structured education unit costs" sheetId="34" r:id="rId6"/>
    <sheet name="STEP 2. Psychological Interv'ns" sheetId="19" r:id="rId7"/>
    <sheet name="Psychological unit costs " sheetId="29" r:id="rId8"/>
    <sheet name="STEP 2. Insulin analogues" sheetId="17" r:id="rId9"/>
    <sheet name="Unit costs Insulin analogues" sheetId="39" r:id="rId10"/>
    <sheet name="STEP 2. CSII" sheetId="31" r:id="rId11"/>
    <sheet name="CSII assumptions&amp;unit costs" sheetId="32" r:id="rId12"/>
    <sheet name="STEP 2. Gestational diabetes" sheetId="20" r:id="rId13"/>
    <sheet name="GDM Unit costs" sheetId="24" r:id="rId14"/>
    <sheet name="STEP 2.Lipid-lowering therapy" sheetId="35" r:id="rId15"/>
    <sheet name="Unit £s Lipid-lowering therapy" sheetId="36" r:id="rId16"/>
    <sheet name="STEP 2.Drug-eluting stents" sheetId="26" r:id="rId17"/>
    <sheet name="Unit costs DES" sheetId="27" r:id="rId18"/>
    <sheet name="SDS 2009 Diabetes by NHS board" sheetId="13" state="hidden" r:id="rId19"/>
    <sheet name="STEP 3. Costing report " sheetId="37" r:id="rId20"/>
  </sheets>
  <externalReferences>
    <externalReference r:id="rId21"/>
  </externalReferences>
  <definedNames>
    <definedName name="Array">[1]TitlePage!D32:H33</definedName>
    <definedName name="Data">[1]TitlePage!F16:F21</definedName>
    <definedName name="LocalData">[1]TitlePage!G16:G22</definedName>
    <definedName name="_xlnm.Print_Area" localSheetId="1">'How to use this document '!$B$1:$B$61</definedName>
    <definedName name="_xlnm.Print_Area" localSheetId="18">'SDS 2009 Diabetes by NHS board'!$A$1:$T$19</definedName>
    <definedName name="_xlnm.Print_Area" localSheetId="3">'STEP 1.Select NHS Board'!$A$6:$Z$25</definedName>
    <definedName name="_xlnm.Print_Area" localSheetId="4">'STEP 2. Education'!$B$5:$H$128</definedName>
    <definedName name="_xlnm.Print_Area" localSheetId="12">'STEP 2. Gestational diabetes'!$B$6:$H$81</definedName>
    <definedName name="_xlnm.Print_Area" localSheetId="8">'STEP 2. Insulin analogues'!$A$1:$H$82</definedName>
    <definedName name="_xlnm.Print_Area" localSheetId="16">'STEP 2.Drug-eluting stents'!$B$5:$I$18</definedName>
    <definedName name="_xlnm.Print_Area" localSheetId="19">'STEP 3. Costing report '!$A$1:$F$64</definedName>
    <definedName name="_xlnm.Print_Area" localSheetId="5">'Structured education unit costs'!$A$71:$I$130</definedName>
  </definedNames>
  <calcPr calcId="125725"/>
</workbook>
</file>

<file path=xl/calcChain.xml><?xml version="1.0" encoding="utf-8"?>
<calcChain xmlns="http://schemas.openxmlformats.org/spreadsheetml/2006/main">
  <c r="B11" i="9"/>
  <c r="F5" i="33"/>
  <c r="A7" i="34"/>
  <c r="A8"/>
  <c r="P11" i="9"/>
  <c r="P12"/>
  <c r="P25" s="1"/>
  <c r="D13" i="33" s="1"/>
  <c r="P13" i="9"/>
  <c r="P14"/>
  <c r="P15"/>
  <c r="P16"/>
  <c r="P17"/>
  <c r="P18"/>
  <c r="P19"/>
  <c r="P20"/>
  <c r="P21"/>
  <c r="P22"/>
  <c r="P23"/>
  <c r="P24"/>
  <c r="D11"/>
  <c r="C33" i="29" s="1"/>
  <c r="D33" s="1"/>
  <c r="E33"/>
  <c r="D12" i="9"/>
  <c r="D13"/>
  <c r="C35" i="29" s="1"/>
  <c r="D35" s="1"/>
  <c r="E35" s="1"/>
  <c r="D14" i="9"/>
  <c r="C36" i="29" s="1"/>
  <c r="D36" s="1"/>
  <c r="E36" s="1"/>
  <c r="D15" i="9"/>
  <c r="C37" i="29"/>
  <c r="D37" s="1"/>
  <c r="E37" s="1"/>
  <c r="D16" i="9"/>
  <c r="K16" s="1"/>
  <c r="D17"/>
  <c r="D18"/>
  <c r="D19"/>
  <c r="D20"/>
  <c r="C42" i="29" s="1"/>
  <c r="D42" s="1"/>
  <c r="E42" s="1"/>
  <c r="D21" i="9"/>
  <c r="D22"/>
  <c r="D23"/>
  <c r="D24"/>
  <c r="C46" i="29" s="1"/>
  <c r="D46" s="1"/>
  <c r="E46" s="1"/>
  <c r="D15" i="33"/>
  <c r="D16"/>
  <c r="D29"/>
  <c r="D31"/>
  <c r="G55"/>
  <c r="G15"/>
  <c r="G16" s="1"/>
  <c r="G29"/>
  <c r="G33"/>
  <c r="G79"/>
  <c r="G43"/>
  <c r="G44" s="1"/>
  <c r="G47"/>
  <c r="G103"/>
  <c r="F5" i="19"/>
  <c r="B7" i="37"/>
  <c r="D30" s="1"/>
  <c r="F35" i="31"/>
  <c r="F5"/>
  <c r="F36"/>
  <c r="F37"/>
  <c r="F45"/>
  <c r="F46"/>
  <c r="G68"/>
  <c r="G71"/>
  <c r="G88"/>
  <c r="G89"/>
  <c r="F6" i="20"/>
  <c r="I12" i="9"/>
  <c r="F34" i="29" s="1"/>
  <c r="G13" i="20"/>
  <c r="G14"/>
  <c r="G15"/>
  <c r="G16"/>
  <c r="G22"/>
  <c r="G23"/>
  <c r="G31"/>
  <c r="G35"/>
  <c r="F67"/>
  <c r="F70" s="1"/>
  <c r="G46"/>
  <c r="G28"/>
  <c r="F68"/>
  <c r="F69"/>
  <c r="F73"/>
  <c r="G59"/>
  <c r="F74"/>
  <c r="G60"/>
  <c r="F76"/>
  <c r="F78"/>
  <c r="G49" i="35"/>
  <c r="G52" s="1"/>
  <c r="F51"/>
  <c r="F5"/>
  <c r="G24"/>
  <c r="G28" s="1"/>
  <c r="G26"/>
  <c r="R12" i="9"/>
  <c r="R11"/>
  <c r="R13"/>
  <c r="R14"/>
  <c r="R15"/>
  <c r="R16"/>
  <c r="R17"/>
  <c r="R18"/>
  <c r="R19"/>
  <c r="R20"/>
  <c r="R21"/>
  <c r="R22"/>
  <c r="R23"/>
  <c r="R24"/>
  <c r="S11"/>
  <c r="S12"/>
  <c r="S13"/>
  <c r="S14"/>
  <c r="S15"/>
  <c r="S16"/>
  <c r="S17"/>
  <c r="S18"/>
  <c r="S19"/>
  <c r="S20"/>
  <c r="S21"/>
  <c r="S22"/>
  <c r="S23"/>
  <c r="S24"/>
  <c r="G37" i="35"/>
  <c r="G39"/>
  <c r="G41"/>
  <c r="G43"/>
  <c r="G57"/>
  <c r="F57"/>
  <c r="C24" i="26"/>
  <c r="D11"/>
  <c r="D19"/>
  <c r="D20" s="1"/>
  <c r="G5"/>
  <c r="D67" i="33"/>
  <c r="D91"/>
  <c r="D43"/>
  <c r="D44" s="1"/>
  <c r="D47"/>
  <c r="D103"/>
  <c r="I11" i="9"/>
  <c r="I13"/>
  <c r="F35" i="29" s="1"/>
  <c r="I14" i="9"/>
  <c r="I15"/>
  <c r="I16"/>
  <c r="F38" i="29" s="1"/>
  <c r="I17" i="9"/>
  <c r="I18"/>
  <c r="I19"/>
  <c r="I20"/>
  <c r="F42" i="29" s="1"/>
  <c r="I21" i="9"/>
  <c r="F43" i="29" s="1"/>
  <c r="I22" i="9"/>
  <c r="I23"/>
  <c r="F45" i="29" s="1"/>
  <c r="I24" i="9"/>
  <c r="C38" i="29"/>
  <c r="D38" s="1"/>
  <c r="E38" s="1"/>
  <c r="C39"/>
  <c r="D39" s="1"/>
  <c r="E39" s="1"/>
  <c r="C41"/>
  <c r="D41" s="1"/>
  <c r="E41" s="1"/>
  <c r="C45"/>
  <c r="D45" s="1"/>
  <c r="E45" s="1"/>
  <c r="D32" i="19"/>
  <c r="D33"/>
  <c r="C43" i="29"/>
  <c r="D43" s="1"/>
  <c r="E43" s="1"/>
  <c r="C35" i="31"/>
  <c r="C36"/>
  <c r="C37"/>
  <c r="C45"/>
  <c r="C46"/>
  <c r="D68"/>
  <c r="D71"/>
  <c r="D88"/>
  <c r="D89"/>
  <c r="D45" i="20"/>
  <c r="D22"/>
  <c r="D27" s="1"/>
  <c r="D23"/>
  <c r="D30" s="1"/>
  <c r="D39" s="1"/>
  <c r="D31"/>
  <c r="D35"/>
  <c r="C67"/>
  <c r="C70" s="1"/>
  <c r="D46"/>
  <c r="D28"/>
  <c r="D29" s="1"/>
  <c r="C68"/>
  <c r="C69"/>
  <c r="C73"/>
  <c r="D59"/>
  <c r="C74"/>
  <c r="D60"/>
  <c r="C76"/>
  <c r="C78"/>
  <c r="C51" i="35"/>
  <c r="S19" i="13"/>
  <c r="S17" s="1"/>
  <c r="D24" i="35"/>
  <c r="D26"/>
  <c r="D37"/>
  <c r="D39"/>
  <c r="D41"/>
  <c r="D43"/>
  <c r="D52"/>
  <c r="D57"/>
  <c r="C57"/>
  <c r="G75" i="29"/>
  <c r="G73"/>
  <c r="G38" i="19"/>
  <c r="D38"/>
  <c r="D56" i="29"/>
  <c r="B25" i="9"/>
  <c r="B12"/>
  <c r="B13"/>
  <c r="B14"/>
  <c r="B15"/>
  <c r="B16"/>
  <c r="B17"/>
  <c r="B18"/>
  <c r="B19"/>
  <c r="B20"/>
  <c r="B21"/>
  <c r="B22"/>
  <c r="B23"/>
  <c r="C23" s="1"/>
  <c r="B24"/>
  <c r="D70" i="32"/>
  <c r="C70"/>
  <c r="D121" i="31" s="1"/>
  <c r="B70" i="32"/>
  <c r="G17"/>
  <c r="G16"/>
  <c r="G15"/>
  <c r="G14"/>
  <c r="G13"/>
  <c r="G12"/>
  <c r="G11"/>
  <c r="G10"/>
  <c r="G9"/>
  <c r="G8"/>
  <c r="G7"/>
  <c r="G18" s="1"/>
  <c r="G6"/>
  <c r="G5"/>
  <c r="G4"/>
  <c r="B19" i="36"/>
  <c r="F15"/>
  <c r="F16"/>
  <c r="E16"/>
  <c r="E15"/>
  <c r="D18"/>
  <c r="F44" i="35" s="1"/>
  <c r="D17" i="36"/>
  <c r="F40" i="35"/>
  <c r="D16" i="36"/>
  <c r="F42" i="35" s="1"/>
  <c r="D15" i="36"/>
  <c r="F38" i="35"/>
  <c r="B21" i="24"/>
  <c r="B12"/>
  <c r="C30" i="20" s="1"/>
  <c r="B8" i="24"/>
  <c r="C32" i="20"/>
  <c r="B33" i="24"/>
  <c r="E59" i="34"/>
  <c r="E58"/>
  <c r="E57"/>
  <c r="F57" s="1"/>
  <c r="H57" s="1"/>
  <c r="B45"/>
  <c r="L47" i="29"/>
  <c r="D19" i="19"/>
  <c r="F64" i="29"/>
  <c r="E64" s="1"/>
  <c r="F63"/>
  <c r="E63"/>
  <c r="F62"/>
  <c r="E62" s="1"/>
  <c r="I5"/>
  <c r="J5"/>
  <c r="K5" s="1"/>
  <c r="L5" s="1"/>
  <c r="J6"/>
  <c r="I6"/>
  <c r="K6" s="1"/>
  <c r="L6" s="1"/>
  <c r="J7"/>
  <c r="I7"/>
  <c r="K7" s="1"/>
  <c r="L7" s="1"/>
  <c r="J8"/>
  <c r="I8"/>
  <c r="K8"/>
  <c r="L8" s="1"/>
  <c r="J9"/>
  <c r="K9" s="1"/>
  <c r="I9"/>
  <c r="L9"/>
  <c r="J10"/>
  <c r="K10" s="1"/>
  <c r="L10" s="1"/>
  <c r="I10"/>
  <c r="J11"/>
  <c r="K11" s="1"/>
  <c r="L11" s="1"/>
  <c r="I11"/>
  <c r="J12"/>
  <c r="I12"/>
  <c r="R10"/>
  <c r="R11"/>
  <c r="I13"/>
  <c r="O17"/>
  <c r="J18" s="1"/>
  <c r="Q13"/>
  <c r="K18"/>
  <c r="O18" s="1"/>
  <c r="M18"/>
  <c r="C132" i="31"/>
  <c r="F132"/>
  <c r="A4" i="32"/>
  <c r="A5"/>
  <c r="E30"/>
  <c r="F30" s="1"/>
  <c r="G30"/>
  <c r="H30" s="1"/>
  <c r="E31"/>
  <c r="F31" s="1"/>
  <c r="G31"/>
  <c r="H31"/>
  <c r="F75" i="31"/>
  <c r="E32" i="32"/>
  <c r="F32"/>
  <c r="G32"/>
  <c r="H32" s="1"/>
  <c r="B55"/>
  <c r="E33"/>
  <c r="F33"/>
  <c r="H33"/>
  <c r="F90" i="31" s="1"/>
  <c r="H90" s="1"/>
  <c r="G33" i="32"/>
  <c r="D18"/>
  <c r="D84" i="31"/>
  <c r="E18" i="32"/>
  <c r="D118" i="31" s="1"/>
  <c r="G11" i="9"/>
  <c r="B44" i="32"/>
  <c r="C44"/>
  <c r="F34" i="35"/>
  <c r="C34"/>
  <c r="O25" i="9"/>
  <c r="D11" i="20" s="1"/>
  <c r="D34" s="1"/>
  <c r="D36" s="1"/>
  <c r="D37" s="1"/>
  <c r="C63" i="17"/>
  <c r="D53"/>
  <c r="D54" s="1"/>
  <c r="D59"/>
  <c r="C64"/>
  <c r="D60"/>
  <c r="C41"/>
  <c r="D31"/>
  <c r="D32"/>
  <c r="D42" s="1"/>
  <c r="E42" s="1"/>
  <c r="D37"/>
  <c r="C42"/>
  <c r="D38"/>
  <c r="C46"/>
  <c r="D33"/>
  <c r="D34" s="1"/>
  <c r="C47"/>
  <c r="J80" i="29"/>
  <c r="J81" s="1"/>
  <c r="J84" s="1"/>
  <c r="J83"/>
  <c r="O82"/>
  <c r="O83" s="1"/>
  <c r="J86"/>
  <c r="J88" s="1"/>
  <c r="B62"/>
  <c r="B33"/>
  <c r="C20" i="19"/>
  <c r="D85" i="29"/>
  <c r="D21" i="19"/>
  <c r="D23"/>
  <c r="F20"/>
  <c r="G23"/>
  <c r="D69" i="33"/>
  <c r="D93"/>
  <c r="E21" i="34"/>
  <c r="D68" i="33"/>
  <c r="D70" s="1"/>
  <c r="B188" i="34"/>
  <c r="G57"/>
  <c r="F58"/>
  <c r="G58"/>
  <c r="H58"/>
  <c r="B200"/>
  <c r="F59"/>
  <c r="G59"/>
  <c r="H59"/>
  <c r="B221"/>
  <c r="B222"/>
  <c r="B226"/>
  <c r="V11" i="9"/>
  <c r="V12"/>
  <c r="V13"/>
  <c r="V14"/>
  <c r="V15"/>
  <c r="V16"/>
  <c r="V17"/>
  <c r="V18"/>
  <c r="V19"/>
  <c r="V20"/>
  <c r="V21"/>
  <c r="V22"/>
  <c r="V23"/>
  <c r="V24"/>
  <c r="U11"/>
  <c r="U12"/>
  <c r="U13"/>
  <c r="U14"/>
  <c r="U15"/>
  <c r="U16"/>
  <c r="U17"/>
  <c r="U18"/>
  <c r="U19"/>
  <c r="U20"/>
  <c r="U23"/>
  <c r="Q11"/>
  <c r="Q12"/>
  <c r="Q13"/>
  <c r="Q14"/>
  <c r="Q15"/>
  <c r="Q16"/>
  <c r="Q17"/>
  <c r="Q18"/>
  <c r="Q19"/>
  <c r="Q20"/>
  <c r="Q21"/>
  <c r="Q22"/>
  <c r="Q23"/>
  <c r="Q24"/>
  <c r="G12"/>
  <c r="G13"/>
  <c r="G14"/>
  <c r="G15"/>
  <c r="G16"/>
  <c r="G17"/>
  <c r="G18"/>
  <c r="G19"/>
  <c r="G20"/>
  <c r="G21"/>
  <c r="G22"/>
  <c r="G23"/>
  <c r="H19" i="26"/>
  <c r="H20" s="1"/>
  <c r="G24"/>
  <c r="D8" i="27"/>
  <c r="H10" i="26"/>
  <c r="H11"/>
  <c r="H13"/>
  <c r="G17"/>
  <c r="C17"/>
  <c r="D4" i="27"/>
  <c r="D5"/>
  <c r="D6"/>
  <c r="D7"/>
  <c r="D9"/>
  <c r="D10" i="26" s="1"/>
  <c r="D12" s="1"/>
  <c r="D13"/>
  <c r="C68" i="17"/>
  <c r="D55"/>
  <c r="D56" s="1"/>
  <c r="C69"/>
  <c r="D23"/>
  <c r="D22"/>
  <c r="E22" s="1"/>
  <c r="C23"/>
  <c r="C22"/>
  <c r="D18"/>
  <c r="E18" s="1"/>
  <c r="D17"/>
  <c r="E17" s="1"/>
  <c r="C18"/>
  <c r="C17"/>
  <c r="D15"/>
  <c r="D14"/>
  <c r="E11"/>
  <c r="D9"/>
  <c r="D10"/>
  <c r="D11" s="1"/>
  <c r="G58" i="20"/>
  <c r="G25"/>
  <c r="G24"/>
  <c r="D58"/>
  <c r="D25"/>
  <c r="D24"/>
  <c r="D13"/>
  <c r="D14"/>
  <c r="D15"/>
  <c r="D16"/>
  <c r="D45" i="34"/>
  <c r="E28"/>
  <c r="E30"/>
  <c r="E31"/>
  <c r="E34"/>
  <c r="E35"/>
  <c r="E37"/>
  <c r="E39"/>
  <c r="E41"/>
  <c r="E42"/>
  <c r="C44"/>
  <c r="C43"/>
  <c r="C42"/>
  <c r="C40"/>
  <c r="C39"/>
  <c r="C38"/>
  <c r="C36"/>
  <c r="C35"/>
  <c r="C34"/>
  <c r="C32"/>
  <c r="C31"/>
  <c r="C30"/>
  <c r="C28"/>
  <c r="C27"/>
  <c r="C26"/>
  <c r="F18"/>
  <c r="F13"/>
  <c r="F11"/>
  <c r="F7"/>
  <c r="D20"/>
  <c r="D18"/>
  <c r="D17"/>
  <c r="D16"/>
  <c r="D14"/>
  <c r="D13"/>
  <c r="D12"/>
  <c r="D10"/>
  <c r="D9"/>
  <c r="D8"/>
  <c r="B21"/>
  <c r="C13"/>
  <c r="C14"/>
  <c r="C18"/>
  <c r="B85"/>
  <c r="B89"/>
  <c r="B93"/>
  <c r="B94"/>
  <c r="B95" s="1"/>
  <c r="B115"/>
  <c r="B116" s="1"/>
  <c r="B121"/>
  <c r="B122" s="1"/>
  <c r="B127"/>
  <c r="B128" s="1"/>
  <c r="B152"/>
  <c r="B142"/>
  <c r="B143" s="1"/>
  <c r="B170"/>
  <c r="B175"/>
  <c r="B180"/>
  <c r="A9"/>
  <c r="A10"/>
  <c r="A11"/>
  <c r="A12"/>
  <c r="A13"/>
  <c r="G21" i="33"/>
  <c r="D33"/>
  <c r="D21"/>
  <c r="A6" i="32"/>
  <c r="A7"/>
  <c r="A8"/>
  <c r="A9"/>
  <c r="A10"/>
  <c r="B63" i="29"/>
  <c r="B64"/>
  <c r="B65"/>
  <c r="B66"/>
  <c r="B67"/>
  <c r="B68"/>
  <c r="B34"/>
  <c r="B35"/>
  <c r="B36"/>
  <c r="B37"/>
  <c r="B38"/>
  <c r="B39"/>
  <c r="D28" i="35"/>
  <c r="N5" i="13"/>
  <c r="T11" i="9" s="1"/>
  <c r="N6" i="13"/>
  <c r="T12" i="9"/>
  <c r="T10"/>
  <c r="O18" i="13"/>
  <c r="O16"/>
  <c r="U22" i="9" s="1"/>
  <c r="O15" i="13"/>
  <c r="U21" i="9"/>
  <c r="Q17" i="13"/>
  <c r="W23" i="9"/>
  <c r="Q16" i="13"/>
  <c r="Q14"/>
  <c r="W20" i="9" s="1"/>
  <c r="Q13" i="13"/>
  <c r="Q12"/>
  <c r="W18" i="9" s="1"/>
  <c r="Q11" i="13"/>
  <c r="W17" i="9"/>
  <c r="Q10" i="13"/>
  <c r="W16" i="9" s="1"/>
  <c r="Q9" i="13"/>
  <c r="W15" i="9"/>
  <c r="Q8" i="13"/>
  <c r="Q7"/>
  <c r="W13" i="9" s="1"/>
  <c r="Q6" i="13"/>
  <c r="Q5"/>
  <c r="P19"/>
  <c r="L19"/>
  <c r="M19"/>
  <c r="N8"/>
  <c r="T14" i="9" s="1"/>
  <c r="N9" i="13"/>
  <c r="N19" s="1"/>
  <c r="N10"/>
  <c r="T16" i="9" s="1"/>
  <c r="N11" i="13"/>
  <c r="T17" i="9"/>
  <c r="N12" i="13"/>
  <c r="N13"/>
  <c r="T19" i="9" s="1"/>
  <c r="N14" i="13"/>
  <c r="N15"/>
  <c r="N16"/>
  <c r="T22" i="9" s="1"/>
  <c r="N17" i="13"/>
  <c r="R17" s="1"/>
  <c r="N18"/>
  <c r="T24" i="9" s="1"/>
  <c r="N7" i="13"/>
  <c r="T13" i="9"/>
  <c r="D71" i="33"/>
  <c r="D61"/>
  <c r="D85"/>
  <c r="G31"/>
  <c r="A11" i="32"/>
  <c r="A12"/>
  <c r="A13"/>
  <c r="A14"/>
  <c r="A15"/>
  <c r="A14" i="34"/>
  <c r="A15"/>
  <c r="A16"/>
  <c r="D79" i="33"/>
  <c r="A16" i="32"/>
  <c r="A17"/>
  <c r="D55" i="33"/>
  <c r="A17" i="34"/>
  <c r="A18"/>
  <c r="A19"/>
  <c r="A20"/>
  <c r="H39" i="32"/>
  <c r="D45" s="1"/>
  <c r="F18"/>
  <c r="B18"/>
  <c r="B69" i="29"/>
  <c r="B70"/>
  <c r="B71"/>
  <c r="B72"/>
  <c r="B73"/>
  <c r="B74"/>
  <c r="B75"/>
  <c r="B40"/>
  <c r="B41"/>
  <c r="B42"/>
  <c r="B43"/>
  <c r="B44"/>
  <c r="B45"/>
  <c r="B46"/>
  <c r="G32" i="19"/>
  <c r="F74" i="29"/>
  <c r="E74"/>
  <c r="F69"/>
  <c r="E69"/>
  <c r="F70"/>
  <c r="E70" s="1"/>
  <c r="F71"/>
  <c r="E71" s="1"/>
  <c r="F65"/>
  <c r="E65"/>
  <c r="F66"/>
  <c r="E66" s="1"/>
  <c r="F67"/>
  <c r="E67"/>
  <c r="F68"/>
  <c r="E68" s="1"/>
  <c r="F75"/>
  <c r="E75"/>
  <c r="F73"/>
  <c r="E73" s="1"/>
  <c r="H73"/>
  <c r="F72"/>
  <c r="E49"/>
  <c r="E50"/>
  <c r="K6" i="13"/>
  <c r="K7"/>
  <c r="K8"/>
  <c r="K9"/>
  <c r="K10"/>
  <c r="K11"/>
  <c r="K12"/>
  <c r="K13"/>
  <c r="K14"/>
  <c r="K15"/>
  <c r="K16"/>
  <c r="K17"/>
  <c r="K18"/>
  <c r="K5"/>
  <c r="J19"/>
  <c r="B19"/>
  <c r="C9" i="27"/>
  <c r="B9"/>
  <c r="E23" i="17"/>
  <c r="F5" i="13"/>
  <c r="E5"/>
  <c r="E10"/>
  <c r="M16" i="9" s="1"/>
  <c r="E16" i="13"/>
  <c r="M22" i="9" s="1"/>
  <c r="F8" i="13"/>
  <c r="N14" i="9" s="1"/>
  <c r="F9" i="13"/>
  <c r="N15" i="9" s="1"/>
  <c r="F14" i="13"/>
  <c r="N20" i="9" s="1"/>
  <c r="G19" i="13"/>
  <c r="D5" i="17"/>
  <c r="C10" i="13"/>
  <c r="C17"/>
  <c r="D6"/>
  <c r="L12" i="9" s="1"/>
  <c r="K76" i="29"/>
  <c r="R11" i="13"/>
  <c r="S14"/>
  <c r="Y20" i="9" s="1"/>
  <c r="F76" i="29"/>
  <c r="R10" i="13"/>
  <c r="D87" i="31"/>
  <c r="D101" s="1"/>
  <c r="G87"/>
  <c r="F30" i="20"/>
  <c r="F34"/>
  <c r="C34"/>
  <c r="E34" s="1"/>
  <c r="D120" i="31"/>
  <c r="G120"/>
  <c r="D122"/>
  <c r="D127" s="1"/>
  <c r="G122"/>
  <c r="G21" i="19"/>
  <c r="D19" i="36"/>
  <c r="C53" i="35" s="1"/>
  <c r="C44"/>
  <c r="C40"/>
  <c r="C38"/>
  <c r="C42"/>
  <c r="F27" i="20"/>
  <c r="F32"/>
  <c r="F36"/>
  <c r="C45"/>
  <c r="E47" s="1"/>
  <c r="F45"/>
  <c r="G121" i="31"/>
  <c r="C36" i="20"/>
  <c r="C27"/>
  <c r="F53" i="35"/>
  <c r="X23" i="9"/>
  <c r="E29" i="34"/>
  <c r="K23" i="9"/>
  <c r="K17"/>
  <c r="K15"/>
  <c r="K13"/>
  <c r="G33" i="19"/>
  <c r="E27" i="20"/>
  <c r="D103" i="31"/>
  <c r="C97"/>
  <c r="D20" i="19"/>
  <c r="E20" s="1"/>
  <c r="C39"/>
  <c r="F39"/>
  <c r="D43" i="32"/>
  <c r="N18" i="29"/>
  <c r="L18"/>
  <c r="Y23" i="9" l="1"/>
  <c r="T17" i="13"/>
  <c r="Z23" i="9" s="1"/>
  <c r="C12"/>
  <c r="C15"/>
  <c r="C20"/>
  <c r="C24"/>
  <c r="C14"/>
  <c r="C13"/>
  <c r="C45" i="35"/>
  <c r="S18" i="13"/>
  <c r="Y24" i="9" s="1"/>
  <c r="S7" i="13"/>
  <c r="Y13" i="9" s="1"/>
  <c r="D41" i="17"/>
  <c r="F45" i="35"/>
  <c r="H28" i="26"/>
  <c r="G17" i="20"/>
  <c r="G12" i="31"/>
  <c r="G21" s="1"/>
  <c r="S11" i="13"/>
  <c r="Y17" i="9" s="1"/>
  <c r="G11" i="20"/>
  <c r="G18" s="1"/>
  <c r="G27" s="1"/>
  <c r="G29" s="1"/>
  <c r="V25" i="9"/>
  <c r="D16" i="35" s="1"/>
  <c r="D25" i="9"/>
  <c r="G20" i="35"/>
  <c r="G25" i="31"/>
  <c r="G27"/>
  <c r="G11"/>
  <c r="G19" i="19"/>
  <c r="G35" s="1"/>
  <c r="G118" i="31"/>
  <c r="G84"/>
  <c r="H27" i="26"/>
  <c r="D22"/>
  <c r="E30" s="1"/>
  <c r="D14"/>
  <c r="D15" s="1"/>
  <c r="E18" s="1"/>
  <c r="D21"/>
  <c r="F23" i="19"/>
  <c r="C34"/>
  <c r="F34"/>
  <c r="F24"/>
  <c r="C23"/>
  <c r="E23" s="1"/>
  <c r="C24"/>
  <c r="F76" i="31"/>
  <c r="C76"/>
  <c r="C45" i="32"/>
  <c r="C56"/>
  <c r="E76" i="29"/>
  <c r="C35" i="19"/>
  <c r="F22"/>
  <c r="C21"/>
  <c r="E21" s="1"/>
  <c r="C22"/>
  <c r="F29"/>
  <c r="J70" i="29"/>
  <c r="J65"/>
  <c r="C29" i="19"/>
  <c r="F35"/>
  <c r="F21"/>
  <c r="C43" i="32"/>
  <c r="D56"/>
  <c r="C74" i="31"/>
  <c r="F74"/>
  <c r="E19" i="9"/>
  <c r="E14"/>
  <c r="E15"/>
  <c r="E23"/>
  <c r="E16"/>
  <c r="D11" i="33"/>
  <c r="E24" i="9"/>
  <c r="E21"/>
  <c r="E11"/>
  <c r="E13"/>
  <c r="I18" i="13"/>
  <c r="H24" i="9" s="1"/>
  <c r="I14" i="13"/>
  <c r="H20" i="9" s="1"/>
  <c r="I10" i="13"/>
  <c r="H16" i="9" s="1"/>
  <c r="I6" i="13"/>
  <c r="H12" i="9" s="1"/>
  <c r="H18" i="13"/>
  <c r="F24" i="9" s="1"/>
  <c r="H14" i="13"/>
  <c r="F20" i="9" s="1"/>
  <c r="H10" i="13"/>
  <c r="F16" i="9" s="1"/>
  <c r="H6" i="13"/>
  <c r="F12" i="9" s="1"/>
  <c r="I15" i="13"/>
  <c r="H21" i="9" s="1"/>
  <c r="I11" i="13"/>
  <c r="H17" i="9" s="1"/>
  <c r="I7" i="13"/>
  <c r="H13" i="9" s="1"/>
  <c r="I12" i="13"/>
  <c r="H18" i="9" s="1"/>
  <c r="H12" i="13"/>
  <c r="F18" i="9" s="1"/>
  <c r="I5" i="13"/>
  <c r="H11" i="9" s="1"/>
  <c r="H17" i="13"/>
  <c r="F23" i="9" s="1"/>
  <c r="H11" i="13"/>
  <c r="F17" i="9" s="1"/>
  <c r="I8" i="13"/>
  <c r="H14" i="9" s="1"/>
  <c r="H8" i="13"/>
  <c r="F14" i="9" s="1"/>
  <c r="I17" i="13"/>
  <c r="H23" i="9" s="1"/>
  <c r="H13" i="13"/>
  <c r="F19" i="9" s="1"/>
  <c r="H7" i="13"/>
  <c r="F13" i="9" s="1"/>
  <c r="R15" i="13"/>
  <c r="T21" i="9"/>
  <c r="W14"/>
  <c r="R8" i="13"/>
  <c r="B109" i="34"/>
  <c r="B110" s="1"/>
  <c r="B111" s="1"/>
  <c r="B216"/>
  <c r="B217" s="1"/>
  <c r="B165"/>
  <c r="B166" s="1"/>
  <c r="D125" i="31"/>
  <c r="D126"/>
  <c r="B210" i="34"/>
  <c r="B227" s="1"/>
  <c r="B104"/>
  <c r="B192"/>
  <c r="M11" i="9"/>
  <c r="C7" i="13"/>
  <c r="C11"/>
  <c r="C15"/>
  <c r="D12"/>
  <c r="L18" i="9" s="1"/>
  <c r="D7" i="13"/>
  <c r="L13" i="9" s="1"/>
  <c r="D9" i="13"/>
  <c r="L15" i="9" s="1"/>
  <c r="D11" i="13"/>
  <c r="L17" i="9" s="1"/>
  <c r="D14" i="13"/>
  <c r="L20" i="9" s="1"/>
  <c r="D16" i="13"/>
  <c r="L22" i="9" s="1"/>
  <c r="D18" i="13"/>
  <c r="L24" i="9" s="1"/>
  <c r="E11" i="13"/>
  <c r="M17" i="9" s="1"/>
  <c r="E6" i="13"/>
  <c r="M12" i="9" s="1"/>
  <c r="E9" i="13"/>
  <c r="M15" i="9" s="1"/>
  <c r="E15" i="13"/>
  <c r="M21" i="9" s="1"/>
  <c r="E18" i="13"/>
  <c r="M24" i="9" s="1"/>
  <c r="F10" i="13"/>
  <c r="N16" i="9" s="1"/>
  <c r="F13" i="13"/>
  <c r="N19" i="9" s="1"/>
  <c r="F18" i="13"/>
  <c r="N24" i="9" s="1"/>
  <c r="C5" i="13"/>
  <c r="C9"/>
  <c r="C14"/>
  <c r="D8"/>
  <c r="L14" i="9" s="1"/>
  <c r="D17" i="13"/>
  <c r="L23" i="9" s="1"/>
  <c r="S9" i="13"/>
  <c r="Y15" i="9" s="1"/>
  <c r="S15" i="13"/>
  <c r="Y21" i="9" s="1"/>
  <c r="E8" i="13"/>
  <c r="M14" i="9" s="1"/>
  <c r="E12" i="13"/>
  <c r="M18" i="9" s="1"/>
  <c r="E17" i="13"/>
  <c r="M23" i="9" s="1"/>
  <c r="F7" i="13"/>
  <c r="N13" i="9" s="1"/>
  <c r="F12" i="13"/>
  <c r="N18" i="9" s="1"/>
  <c r="F15" i="13"/>
  <c r="N21" i="9" s="1"/>
  <c r="C8" i="13"/>
  <c r="C13"/>
  <c r="C18"/>
  <c r="D10"/>
  <c r="L16" i="9" s="1"/>
  <c r="D5" i="13"/>
  <c r="S13"/>
  <c r="Y19" i="9" s="1"/>
  <c r="S6" i="13"/>
  <c r="Y12" i="9" s="1"/>
  <c r="S10" i="13"/>
  <c r="Y16" i="9" s="1"/>
  <c r="D63" i="17"/>
  <c r="E63" s="1"/>
  <c r="D64"/>
  <c r="D35" i="19"/>
  <c r="D34"/>
  <c r="K11" i="9"/>
  <c r="F33" i="29"/>
  <c r="I25" i="9"/>
  <c r="J24" s="1"/>
  <c r="D95" i="33"/>
  <c r="D92"/>
  <c r="G11"/>
  <c r="G19" s="1"/>
  <c r="G20" s="1"/>
  <c r="G22" s="1"/>
  <c r="G60"/>
  <c r="G61" s="1"/>
  <c r="G41"/>
  <c r="G45" s="1"/>
  <c r="G46" s="1"/>
  <c r="G48" s="1"/>
  <c r="G102" s="1"/>
  <c r="G104" s="1"/>
  <c r="G115" s="1"/>
  <c r="G13"/>
  <c r="G108"/>
  <c r="G109" s="1"/>
  <c r="W12" i="9"/>
  <c r="R6" i="13"/>
  <c r="C10" i="34"/>
  <c r="C15"/>
  <c r="C19"/>
  <c r="C11"/>
  <c r="C12"/>
  <c r="C17"/>
  <c r="D21"/>
  <c r="C9"/>
  <c r="C8"/>
  <c r="C16"/>
  <c r="D27" i="26"/>
  <c r="D10" i="35"/>
  <c r="C17" i="9"/>
  <c r="C21"/>
  <c r="D41" i="33"/>
  <c r="D45" s="1"/>
  <c r="D46" s="1"/>
  <c r="D48" s="1"/>
  <c r="D102" s="1"/>
  <c r="D104" s="1"/>
  <c r="D115" s="1"/>
  <c r="F20" i="34"/>
  <c r="F16"/>
  <c r="F12"/>
  <c r="F8"/>
  <c r="F21" s="1"/>
  <c r="F19"/>
  <c r="F14"/>
  <c r="F9"/>
  <c r="F15"/>
  <c r="F10"/>
  <c r="F44" i="29"/>
  <c r="J22" i="9"/>
  <c r="G12" i="35"/>
  <c r="G11"/>
  <c r="G16"/>
  <c r="G15"/>
  <c r="G10"/>
  <c r="J71" i="29"/>
  <c r="U25" i="9"/>
  <c r="D15" i="35" s="1"/>
  <c r="D17" s="1"/>
  <c r="H75" i="29"/>
  <c r="J64"/>
  <c r="I16" i="13"/>
  <c r="H22" i="9" s="1"/>
  <c r="J69" i="29"/>
  <c r="C34"/>
  <c r="D34" s="1"/>
  <c r="B144" i="34"/>
  <c r="B145" s="1"/>
  <c r="B153" s="1"/>
  <c r="K19" i="9"/>
  <c r="G84" i="33"/>
  <c r="G85" s="1"/>
  <c r="H9" i="13"/>
  <c r="F15" i="9" s="1"/>
  <c r="I13" i="13"/>
  <c r="H19" i="9" s="1"/>
  <c r="R9" i="13"/>
  <c r="D13"/>
  <c r="L19" i="9" s="1"/>
  <c r="C12" i="13"/>
  <c r="F16"/>
  <c r="N22" i="9" s="1"/>
  <c r="F11" i="13"/>
  <c r="N17" i="9" s="1"/>
  <c r="E13" i="13"/>
  <c r="M19" i="9" s="1"/>
  <c r="E7" i="13"/>
  <c r="M13" i="9" s="1"/>
  <c r="J68" i="29"/>
  <c r="G25" i="9"/>
  <c r="J63" i="29"/>
  <c r="C22" i="9"/>
  <c r="C18"/>
  <c r="F41" i="29"/>
  <c r="R25" i="9"/>
  <c r="D11" i="35" s="1"/>
  <c r="N11" i="9"/>
  <c r="B193" i="34"/>
  <c r="B80"/>
  <c r="D47" i="17"/>
  <c r="E47" s="1"/>
  <c r="D46"/>
  <c r="E46" s="1"/>
  <c r="C104" i="31"/>
  <c r="F97"/>
  <c r="C90"/>
  <c r="E90" s="1"/>
  <c r="F46" i="29"/>
  <c r="F36"/>
  <c r="J14" i="9"/>
  <c r="K12"/>
  <c r="E12"/>
  <c r="X17"/>
  <c r="T11" i="13"/>
  <c r="Z17" i="9" s="1"/>
  <c r="T18"/>
  <c r="R12" i="13"/>
  <c r="R13"/>
  <c r="W19" i="9"/>
  <c r="Q18" i="13"/>
  <c r="U24" i="9"/>
  <c r="E72" i="29"/>
  <c r="D73" i="33"/>
  <c r="T20" i="9"/>
  <c r="R14" i="13"/>
  <c r="R5"/>
  <c r="W11" i="9"/>
  <c r="W22"/>
  <c r="R16" i="13"/>
  <c r="O19"/>
  <c r="Q15"/>
  <c r="F69" i="31"/>
  <c r="H69" s="1"/>
  <c r="C69"/>
  <c r="E69" s="1"/>
  <c r="C70"/>
  <c r="E70" s="1"/>
  <c r="F70"/>
  <c r="H70" s="1"/>
  <c r="D104"/>
  <c r="D102"/>
  <c r="B56" i="32"/>
  <c r="C75" i="31"/>
  <c r="D22" i="19"/>
  <c r="D24"/>
  <c r="F39" i="29"/>
  <c r="C44"/>
  <c r="D44" s="1"/>
  <c r="E44" s="1"/>
  <c r="K22" i="9"/>
  <c r="E22"/>
  <c r="C40" i="29"/>
  <c r="D40" s="1"/>
  <c r="E40" s="1"/>
  <c r="E18" i="9"/>
  <c r="K18"/>
  <c r="Q25"/>
  <c r="H5" i="13"/>
  <c r="F11" i="9" s="1"/>
  <c r="J67" i="29"/>
  <c r="T15" i="9"/>
  <c r="D69" i="17"/>
  <c r="K24" i="9"/>
  <c r="K13" i="29"/>
  <c r="L13" s="1"/>
  <c r="P6" s="1"/>
  <c r="M9" s="1"/>
  <c r="B161" i="34"/>
  <c r="B181" s="1"/>
  <c r="F104" i="31"/>
  <c r="D68" i="17"/>
  <c r="E68" s="1"/>
  <c r="D48" i="20"/>
  <c r="G23" i="33"/>
  <c r="B79" i="34"/>
  <c r="B81" s="1"/>
  <c r="B96" s="1"/>
  <c r="X16" i="9"/>
  <c r="E36" i="20"/>
  <c r="H15" i="13"/>
  <c r="F21" i="9" s="1"/>
  <c r="I9" i="13"/>
  <c r="H15" i="9" s="1"/>
  <c r="S5" i="13"/>
  <c r="Y11" i="9" s="1"/>
  <c r="H16" i="13"/>
  <c r="F22" i="9" s="1"/>
  <c r="D15" i="13"/>
  <c r="L21" i="9" s="1"/>
  <c r="C16" i="13"/>
  <c r="C6"/>
  <c r="F17"/>
  <c r="N23" i="9" s="1"/>
  <c r="F6" i="13"/>
  <c r="N12" i="9" s="1"/>
  <c r="E14" i="13"/>
  <c r="M20" i="9" s="1"/>
  <c r="J66" i="29"/>
  <c r="J74"/>
  <c r="L74" s="1"/>
  <c r="T23" i="9"/>
  <c r="C20" i="34"/>
  <c r="C7"/>
  <c r="F17"/>
  <c r="H12" i="26"/>
  <c r="K14" i="9"/>
  <c r="E64" i="17"/>
  <c r="M6" i="29"/>
  <c r="J62"/>
  <c r="D32" i="20"/>
  <c r="E32" i="34"/>
  <c r="E36"/>
  <c r="E40"/>
  <c r="E44"/>
  <c r="E27"/>
  <c r="C41"/>
  <c r="C37"/>
  <c r="C33"/>
  <c r="C29"/>
  <c r="C45" s="1"/>
  <c r="D19"/>
  <c r="D15"/>
  <c r="D11"/>
  <c r="K20" i="9"/>
  <c r="E20"/>
  <c r="K19" i="13"/>
  <c r="D17" i="20"/>
  <c r="E69" i="17"/>
  <c r="E41"/>
  <c r="E43" s="1"/>
  <c r="C19" i="9"/>
  <c r="C11"/>
  <c r="J15"/>
  <c r="S25"/>
  <c r="D12" i="35" s="1"/>
  <c r="S8" i="13"/>
  <c r="Y14" i="9" s="1"/>
  <c r="S12" i="13"/>
  <c r="Y18" i="9" s="1"/>
  <c r="S16" i="13"/>
  <c r="Y22" i="9" s="1"/>
  <c r="F40" i="29"/>
  <c r="R7" i="13"/>
  <c r="E43" i="34"/>
  <c r="E38"/>
  <c r="E33"/>
  <c r="E26"/>
  <c r="E45" s="1"/>
  <c r="D44" i="32"/>
  <c r="J13" i="29"/>
  <c r="K12"/>
  <c r="L12" s="1"/>
  <c r="D7" i="34"/>
  <c r="E30" i="20"/>
  <c r="E39" s="1"/>
  <c r="C16" i="9"/>
  <c r="F37" i="29"/>
  <c r="K21" i="9"/>
  <c r="E17"/>
  <c r="G30" i="20" l="1"/>
  <c r="H30" s="1"/>
  <c r="H27"/>
  <c r="G34"/>
  <c r="G36" s="1"/>
  <c r="G37" s="1"/>
  <c r="G45"/>
  <c r="G48" s="1"/>
  <c r="G12" i="33"/>
  <c r="G27" s="1"/>
  <c r="G28" s="1"/>
  <c r="G30" s="1"/>
  <c r="G34" s="1"/>
  <c r="G37" s="1"/>
  <c r="G78" s="1"/>
  <c r="G80" s="1"/>
  <c r="G91" s="1"/>
  <c r="E24" i="19"/>
  <c r="E22"/>
  <c r="E25" s="1"/>
  <c r="J19" i="9"/>
  <c r="J11"/>
  <c r="E35" i="19"/>
  <c r="J18" i="9"/>
  <c r="T25"/>
  <c r="E48" i="17"/>
  <c r="E49" s="1"/>
  <c r="J17" i="9"/>
  <c r="E104" i="31"/>
  <c r="E65" i="17"/>
  <c r="H25" i="9"/>
  <c r="D12" i="31" s="1"/>
  <c r="D21" s="1"/>
  <c r="H23" i="19"/>
  <c r="G22"/>
  <c r="H22" s="1"/>
  <c r="G20"/>
  <c r="H20" s="1"/>
  <c r="G24"/>
  <c r="H24" s="1"/>
  <c r="G17" i="35"/>
  <c r="G34" i="19"/>
  <c r="G127" i="31"/>
  <c r="G125"/>
  <c r="G126"/>
  <c r="G101"/>
  <c r="G104"/>
  <c r="H104" s="1"/>
  <c r="G102"/>
  <c r="G103"/>
  <c r="G13"/>
  <c r="G17"/>
  <c r="C86" i="33"/>
  <c r="E87" s="1"/>
  <c r="E98" s="1"/>
  <c r="F86"/>
  <c r="T7" i="13"/>
  <c r="Z13" i="9" s="1"/>
  <c r="X13"/>
  <c r="R18" i="13"/>
  <c r="W24" i="9"/>
  <c r="E34" i="29"/>
  <c r="D47"/>
  <c r="F103" i="31"/>
  <c r="C96"/>
  <c r="C103"/>
  <c r="E103" s="1"/>
  <c r="F96"/>
  <c r="D71" i="32"/>
  <c r="C89" i="31"/>
  <c r="E89" s="1"/>
  <c r="F89"/>
  <c r="H89" s="1"/>
  <c r="C71"/>
  <c r="E71" s="1"/>
  <c r="F71"/>
  <c r="H71" s="1"/>
  <c r="W21" i="9"/>
  <c r="Q19" i="13"/>
  <c r="C62" i="33"/>
  <c r="E63" s="1"/>
  <c r="F62"/>
  <c r="H63" s="1"/>
  <c r="T13" i="13"/>
  <c r="Z19" i="9" s="1"/>
  <c r="X19"/>
  <c r="X15"/>
  <c r="T9" i="13"/>
  <c r="Z15" i="9" s="1"/>
  <c r="T6" i="13"/>
  <c r="Z12" i="9" s="1"/>
  <c r="X12"/>
  <c r="D94" i="33"/>
  <c r="D97" s="1"/>
  <c r="G33" i="29"/>
  <c r="H33" s="1"/>
  <c r="I33" s="1"/>
  <c r="F47"/>
  <c r="G46" s="1"/>
  <c r="H46" s="1"/>
  <c r="I46" s="1"/>
  <c r="B129" i="34"/>
  <c r="B105"/>
  <c r="B130" s="1"/>
  <c r="F20" i="13"/>
  <c r="E20"/>
  <c r="J76" i="29"/>
  <c r="M8"/>
  <c r="G39"/>
  <c r="H39" s="1"/>
  <c r="I39" s="1"/>
  <c r="J39" s="1"/>
  <c r="K39" s="1"/>
  <c r="M11"/>
  <c r="K25" i="9"/>
  <c r="M25"/>
  <c r="E34" i="19"/>
  <c r="E36" s="1"/>
  <c r="F25" i="9"/>
  <c r="D11" i="31" s="1"/>
  <c r="G36" i="29"/>
  <c r="H36" s="1"/>
  <c r="I36" s="1"/>
  <c r="J36" s="1"/>
  <c r="K36" s="1"/>
  <c r="M7"/>
  <c r="M10"/>
  <c r="G13" i="35"/>
  <c r="M5" i="29"/>
  <c r="D33" i="20"/>
  <c r="D41" s="1"/>
  <c r="D52" s="1"/>
  <c r="D38"/>
  <c r="C94" i="31"/>
  <c r="F87"/>
  <c r="H87" s="1"/>
  <c r="F101"/>
  <c r="F94"/>
  <c r="C101"/>
  <c r="E101" s="1"/>
  <c r="C87"/>
  <c r="E87" s="1"/>
  <c r="B71" i="32"/>
  <c r="R19" i="13"/>
  <c r="X11" i="9"/>
  <c r="T5" i="13"/>
  <c r="T15"/>
  <c r="Z21" i="9" s="1"/>
  <c r="X21"/>
  <c r="D19" i="33"/>
  <c r="D20" s="1"/>
  <c r="D22" s="1"/>
  <c r="D12"/>
  <c r="D27" s="1"/>
  <c r="D28" s="1"/>
  <c r="D30" s="1"/>
  <c r="I30" i="26"/>
  <c r="D39" i="37" s="1"/>
  <c r="C39"/>
  <c r="H14" i="26"/>
  <c r="H21"/>
  <c r="H22"/>
  <c r="H15"/>
  <c r="I18" s="1"/>
  <c r="C91" i="33"/>
  <c r="E91" s="1"/>
  <c r="B182" i="34"/>
  <c r="F91" i="33"/>
  <c r="X18" i="9"/>
  <c r="T12" i="13"/>
  <c r="Z18" i="9" s="1"/>
  <c r="D116" i="33"/>
  <c r="D117"/>
  <c r="D125" s="1"/>
  <c r="D119"/>
  <c r="D126" s="1"/>
  <c r="G117"/>
  <c r="G119"/>
  <c r="G116"/>
  <c r="L11" i="9"/>
  <c r="L25" s="1"/>
  <c r="D20" i="13"/>
  <c r="C115" i="33"/>
  <c r="E115" s="1"/>
  <c r="F115"/>
  <c r="H115" s="1"/>
  <c r="F102" i="31"/>
  <c r="F95"/>
  <c r="C102"/>
  <c r="E102" s="1"/>
  <c r="C95"/>
  <c r="F88"/>
  <c r="H88" s="1"/>
  <c r="C71" i="32"/>
  <c r="C88" i="31"/>
  <c r="E88" s="1"/>
  <c r="X22" i="9"/>
  <c r="T16" i="13"/>
  <c r="Z22" i="9" s="1"/>
  <c r="T14" i="13"/>
  <c r="Z20" i="9" s="1"/>
  <c r="G22" i="35" s="1"/>
  <c r="X20" i="9"/>
  <c r="G32" i="20"/>
  <c r="J20" i="9"/>
  <c r="J21"/>
  <c r="J13"/>
  <c r="J23"/>
  <c r="J12"/>
  <c r="J16"/>
  <c r="T8" i="13"/>
  <c r="Z14" i="9" s="1"/>
  <c r="X14"/>
  <c r="F68" i="31"/>
  <c r="H68" s="1"/>
  <c r="C68"/>
  <c r="E68" s="1"/>
  <c r="C19" i="13"/>
  <c r="W25" i="9"/>
  <c r="G37" i="29"/>
  <c r="H37" s="1"/>
  <c r="I37" s="1"/>
  <c r="J37" s="1"/>
  <c r="K37" s="1"/>
  <c r="M12"/>
  <c r="C25" i="9"/>
  <c r="D28" i="26" s="1"/>
  <c r="C21" i="34"/>
  <c r="Y25" i="9"/>
  <c r="D20" i="35" s="1"/>
  <c r="E70" i="17"/>
  <c r="E71" s="1"/>
  <c r="N25" i="9"/>
  <c r="D13" i="35"/>
  <c r="T10" i="13"/>
  <c r="Z16" i="9" s="1"/>
  <c r="E32" i="20"/>
  <c r="E38" s="1"/>
  <c r="E40" s="1"/>
  <c r="E50" s="1"/>
  <c r="G24" i="33"/>
  <c r="B194" i="34"/>
  <c r="B202" s="1"/>
  <c r="D128" i="31"/>
  <c r="E25" i="9"/>
  <c r="G32" i="33" l="1"/>
  <c r="G36" s="1"/>
  <c r="H47" i="20"/>
  <c r="H36"/>
  <c r="G39"/>
  <c r="H34"/>
  <c r="H39" s="1"/>
  <c r="G25" i="35"/>
  <c r="G27"/>
  <c r="H72" i="31"/>
  <c r="J25" i="9"/>
  <c r="H102" i="31"/>
  <c r="G118" i="33"/>
  <c r="G121" s="1"/>
  <c r="H101" i="31"/>
  <c r="H21" i="19"/>
  <c r="H25" s="1"/>
  <c r="H103" i="31"/>
  <c r="G23"/>
  <c r="G29" s="1"/>
  <c r="G128"/>
  <c r="H91" i="33"/>
  <c r="D69" i="20"/>
  <c r="D56"/>
  <c r="D67"/>
  <c r="D68"/>
  <c r="J46" i="29"/>
  <c r="G66"/>
  <c r="D66"/>
  <c r="G68"/>
  <c r="D68"/>
  <c r="J33"/>
  <c r="K33" s="1"/>
  <c r="H32" i="20"/>
  <c r="G33"/>
  <c r="G41" s="1"/>
  <c r="G52" s="1"/>
  <c r="G38"/>
  <c r="D40"/>
  <c r="D51"/>
  <c r="G92" i="33"/>
  <c r="G95"/>
  <c r="G93"/>
  <c r="C126" i="31"/>
  <c r="E126" s="1"/>
  <c r="F126"/>
  <c r="H126" s="1"/>
  <c r="C121"/>
  <c r="E121" s="1"/>
  <c r="F121"/>
  <c r="H121" s="1"/>
  <c r="G18" i="35"/>
  <c r="C67" i="33"/>
  <c r="E67" s="1"/>
  <c r="E128" s="1"/>
  <c r="C33" i="37" s="1"/>
  <c r="F67" i="33"/>
  <c r="F127" i="31"/>
  <c r="H127" s="1"/>
  <c r="C127"/>
  <c r="E127" s="1"/>
  <c r="F122"/>
  <c r="H122" s="1"/>
  <c r="C122"/>
  <c r="E122" s="1"/>
  <c r="T18" i="13"/>
  <c r="Z24" i="9" s="1"/>
  <c r="X24"/>
  <c r="X25" s="1"/>
  <c r="H87" i="33"/>
  <c r="H111"/>
  <c r="H122" s="1"/>
  <c r="E111" i="31"/>
  <c r="M13" i="29"/>
  <c r="D33" i="35"/>
  <c r="D34" s="1"/>
  <c r="E34" s="1"/>
  <c r="D18"/>
  <c r="G33"/>
  <c r="G34" s="1"/>
  <c r="F120" i="31"/>
  <c r="H120" s="1"/>
  <c r="C125"/>
  <c r="E125" s="1"/>
  <c r="E128" s="1"/>
  <c r="C120"/>
  <c r="E120" s="1"/>
  <c r="F125"/>
  <c r="H125" s="1"/>
  <c r="D13"/>
  <c r="D25" s="1"/>
  <c r="D17"/>
  <c r="C108" i="33"/>
  <c r="E108" s="1"/>
  <c r="E127" s="1"/>
  <c r="C110"/>
  <c r="E111" s="1"/>
  <c r="E122" s="1"/>
  <c r="F108"/>
  <c r="H108" s="1"/>
  <c r="F110"/>
  <c r="D65" i="29"/>
  <c r="G65"/>
  <c r="G47"/>
  <c r="G42"/>
  <c r="H42" s="1"/>
  <c r="I42" s="1"/>
  <c r="G43"/>
  <c r="H43" s="1"/>
  <c r="I43" s="1"/>
  <c r="J43" s="1"/>
  <c r="K43" s="1"/>
  <c r="G72" s="1"/>
  <c r="H72" s="1"/>
  <c r="G45"/>
  <c r="H45" s="1"/>
  <c r="I45" s="1"/>
  <c r="J45" s="1"/>
  <c r="K45" s="1"/>
  <c r="G38"/>
  <c r="H38" s="1"/>
  <c r="I38" s="1"/>
  <c r="J38" s="1"/>
  <c r="K38" s="1"/>
  <c r="G35"/>
  <c r="H35" s="1"/>
  <c r="I35" s="1"/>
  <c r="J35" s="1"/>
  <c r="K35" s="1"/>
  <c r="G34"/>
  <c r="H34" s="1"/>
  <c r="I34" s="1"/>
  <c r="J34" s="1"/>
  <c r="K34" s="1"/>
  <c r="D32" i="33"/>
  <c r="D36" s="1"/>
  <c r="D54" s="1"/>
  <c r="G54" s="1"/>
  <c r="G56" s="1"/>
  <c r="G67" s="1"/>
  <c r="D34"/>
  <c r="D37" s="1"/>
  <c r="D78" s="1"/>
  <c r="Z11" i="9"/>
  <c r="E74" i="33"/>
  <c r="E72" i="17"/>
  <c r="D35" i="37" s="1"/>
  <c r="G44" i="29"/>
  <c r="H44" s="1"/>
  <c r="I44" s="1"/>
  <c r="G41"/>
  <c r="H41" s="1"/>
  <c r="I41" s="1"/>
  <c r="J41" s="1"/>
  <c r="K41" s="1"/>
  <c r="E72" i="31"/>
  <c r="D118" i="33"/>
  <c r="D121" s="1"/>
  <c r="D123" s="1"/>
  <c r="E91" i="31"/>
  <c r="H91"/>
  <c r="G40" i="29"/>
  <c r="H40" s="1"/>
  <c r="I40" s="1"/>
  <c r="J40" s="1"/>
  <c r="K40" s="1"/>
  <c r="D124" i="33"/>
  <c r="H127" l="1"/>
  <c r="H38" i="20"/>
  <c r="H40" s="1"/>
  <c r="H50" s="1"/>
  <c r="G29" i="35"/>
  <c r="G35" s="1"/>
  <c r="H123" i="31"/>
  <c r="J42" i="29"/>
  <c r="K42" s="1"/>
  <c r="G10" i="19"/>
  <c r="G15" s="1"/>
  <c r="H111" i="31"/>
  <c r="H98" i="33"/>
  <c r="H48" i="31"/>
  <c r="G30"/>
  <c r="H39"/>
  <c r="G67" i="20"/>
  <c r="G56"/>
  <c r="G69"/>
  <c r="G68"/>
  <c r="D63" i="29"/>
  <c r="G63"/>
  <c r="H65"/>
  <c r="I65"/>
  <c r="L65" s="1"/>
  <c r="G74"/>
  <c r="D74"/>
  <c r="D23" i="31"/>
  <c r="D29" s="1"/>
  <c r="H34" i="35"/>
  <c r="H68" i="29"/>
  <c r="I68"/>
  <c r="L68" s="1"/>
  <c r="D64" i="20"/>
  <c r="D74"/>
  <c r="E74" s="1"/>
  <c r="D73"/>
  <c r="E73" s="1"/>
  <c r="D63"/>
  <c r="D76"/>
  <c r="E76" s="1"/>
  <c r="D78"/>
  <c r="E78" s="1"/>
  <c r="D62"/>
  <c r="G67" i="29"/>
  <c r="D67"/>
  <c r="P12"/>
  <c r="P11"/>
  <c r="M76"/>
  <c r="I75" s="1"/>
  <c r="L75" s="1"/>
  <c r="G40" i="20"/>
  <c r="G51"/>
  <c r="D62" i="29"/>
  <c r="G62"/>
  <c r="K47"/>
  <c r="D15" i="19" s="1"/>
  <c r="E69" i="20"/>
  <c r="E68"/>
  <c r="E67"/>
  <c r="Z25" i="9"/>
  <c r="D22" i="35" s="1"/>
  <c r="T19" i="13"/>
  <c r="E123" i="31"/>
  <c r="G70" i="29"/>
  <c r="D70"/>
  <c r="D69"/>
  <c r="G69"/>
  <c r="J44"/>
  <c r="I73"/>
  <c r="D64"/>
  <c r="G64"/>
  <c r="D71"/>
  <c r="G29" i="19" s="1"/>
  <c r="G71" i="29"/>
  <c r="G39" i="19" s="1"/>
  <c r="H39" s="1"/>
  <c r="I66" i="29"/>
  <c r="L66" s="1"/>
  <c r="H66"/>
  <c r="H128" i="31"/>
  <c r="G94" i="33"/>
  <c r="G97" s="1"/>
  <c r="I47" i="29"/>
  <c r="J47" s="1"/>
  <c r="H29" i="19" l="1"/>
  <c r="H35"/>
  <c r="H34"/>
  <c r="G32" i="31"/>
  <c r="G37"/>
  <c r="H37" s="1"/>
  <c r="H40" s="1"/>
  <c r="G42"/>
  <c r="G45"/>
  <c r="H45" s="1"/>
  <c r="G36"/>
  <c r="H36" s="1"/>
  <c r="H132"/>
  <c r="H133" s="1"/>
  <c r="G65"/>
  <c r="G66" s="1"/>
  <c r="G46"/>
  <c r="H46" s="1"/>
  <c r="G35"/>
  <c r="H35" s="1"/>
  <c r="H56"/>
  <c r="G31"/>
  <c r="G83" s="1"/>
  <c r="D27" i="35"/>
  <c r="D25"/>
  <c r="D29" s="1"/>
  <c r="D35" s="1"/>
  <c r="G38"/>
  <c r="G44"/>
  <c r="H44" s="1"/>
  <c r="G42"/>
  <c r="H42" s="1"/>
  <c r="G40"/>
  <c r="H40" s="1"/>
  <c r="H62" i="29"/>
  <c r="D76"/>
  <c r="D29" i="19" s="1"/>
  <c r="E29" s="1"/>
  <c r="I62" i="29"/>
  <c r="I63"/>
  <c r="L63" s="1"/>
  <c r="H63"/>
  <c r="H69" i="20"/>
  <c r="H68"/>
  <c r="H67"/>
  <c r="H64" i="29"/>
  <c r="I64"/>
  <c r="L64" s="1"/>
  <c r="I72"/>
  <c r="L72" s="1"/>
  <c r="L73"/>
  <c r="H70"/>
  <c r="I70"/>
  <c r="L70" s="1"/>
  <c r="G63" i="20"/>
  <c r="G78"/>
  <c r="H78" s="1"/>
  <c r="G74"/>
  <c r="H74" s="1"/>
  <c r="G73"/>
  <c r="H73" s="1"/>
  <c r="G62"/>
  <c r="G76"/>
  <c r="H76" s="1"/>
  <c r="G64"/>
  <c r="E79"/>
  <c r="E81" s="1"/>
  <c r="C37" i="37" s="1"/>
  <c r="G76" i="29"/>
  <c r="D39" i="19" s="1"/>
  <c r="E39" s="1"/>
  <c r="H74" i="29"/>
  <c r="I71"/>
  <c r="L71" s="1"/>
  <c r="H71"/>
  <c r="H69"/>
  <c r="I69"/>
  <c r="L69" s="1"/>
  <c r="H67"/>
  <c r="I67"/>
  <c r="L67" s="1"/>
  <c r="E39" i="31"/>
  <c r="E56" s="1"/>
  <c r="E48"/>
  <c r="D30"/>
  <c r="P13" i="29"/>
  <c r="H40" i="19" l="1"/>
  <c r="D34" i="37" s="1"/>
  <c r="H36" i="19"/>
  <c r="H54" i="31"/>
  <c r="H38"/>
  <c r="H53"/>
  <c r="H41"/>
  <c r="G96"/>
  <c r="H96" s="1"/>
  <c r="H109" s="1"/>
  <c r="G85"/>
  <c r="G95"/>
  <c r="H95" s="1"/>
  <c r="H108" s="1"/>
  <c r="G94"/>
  <c r="G97"/>
  <c r="H97" s="1"/>
  <c r="H110" s="1"/>
  <c r="G74"/>
  <c r="G76"/>
  <c r="H76" s="1"/>
  <c r="G75"/>
  <c r="H75" s="1"/>
  <c r="H47"/>
  <c r="H49"/>
  <c r="D44" i="35"/>
  <c r="E44" s="1"/>
  <c r="D38"/>
  <c r="D40"/>
  <c r="E40" s="1"/>
  <c r="D42"/>
  <c r="E42" s="1"/>
  <c r="H76" i="29"/>
  <c r="E40" i="19"/>
  <c r="C34" i="37" s="1"/>
  <c r="G45" i="35"/>
  <c r="H38"/>
  <c r="D50" i="31"/>
  <c r="D46"/>
  <c r="E46" s="1"/>
  <c r="D42"/>
  <c r="D59"/>
  <c r="D37"/>
  <c r="E37" s="1"/>
  <c r="E40" s="1"/>
  <c r="D32"/>
  <c r="G50"/>
  <c r="D35"/>
  <c r="E35" s="1"/>
  <c r="D36"/>
  <c r="E36" s="1"/>
  <c r="E54" s="1"/>
  <c r="G59"/>
  <c r="D65"/>
  <c r="D66" s="1"/>
  <c r="E132"/>
  <c r="E133" s="1"/>
  <c r="D45"/>
  <c r="E45" s="1"/>
  <c r="D31"/>
  <c r="D83" s="1"/>
  <c r="L62" i="29"/>
  <c r="I76"/>
  <c r="L76" s="1"/>
  <c r="H79" i="20"/>
  <c r="H81" s="1"/>
  <c r="D37" i="37" s="1"/>
  <c r="H55" i="31" l="1"/>
  <c r="H57" s="1"/>
  <c r="H74"/>
  <c r="H77" s="1"/>
  <c r="G77"/>
  <c r="G98"/>
  <c r="H94"/>
  <c r="H42"/>
  <c r="H58"/>
  <c r="H50"/>
  <c r="E38" i="35"/>
  <c r="D45"/>
  <c r="E47" i="31"/>
  <c r="E49"/>
  <c r="E50" s="1"/>
  <c r="D76"/>
  <c r="E76" s="1"/>
  <c r="D75"/>
  <c r="E75" s="1"/>
  <c r="D74"/>
  <c r="H45" i="35"/>
  <c r="G53"/>
  <c r="H53" s="1"/>
  <c r="G51"/>
  <c r="E41" i="31"/>
  <c r="E53"/>
  <c r="E38"/>
  <c r="E55" s="1"/>
  <c r="E57" s="1"/>
  <c r="D94"/>
  <c r="D95"/>
  <c r="E95" s="1"/>
  <c r="E108" s="1"/>
  <c r="D96"/>
  <c r="E96" s="1"/>
  <c r="E109" s="1"/>
  <c r="D85"/>
  <c r="D97"/>
  <c r="E97" s="1"/>
  <c r="E110" s="1"/>
  <c r="H98" l="1"/>
  <c r="H112" s="1"/>
  <c r="H130" s="1"/>
  <c r="H107"/>
  <c r="H59"/>
  <c r="E58"/>
  <c r="E42"/>
  <c r="D77"/>
  <c r="E74"/>
  <c r="E77" s="1"/>
  <c r="D53" i="35"/>
  <c r="E53" s="1"/>
  <c r="E45"/>
  <c r="D51"/>
  <c r="D98" i="31"/>
  <c r="E94"/>
  <c r="H51" i="35"/>
  <c r="H54" s="1"/>
  <c r="H55" s="1"/>
  <c r="H57"/>
  <c r="H58" l="1"/>
  <c r="D38" i="37" s="1"/>
  <c r="D36"/>
  <c r="H131" i="31"/>
  <c r="E51" i="35"/>
  <c r="E54" s="1"/>
  <c r="E55" s="1"/>
  <c r="E58" s="1"/>
  <c r="C38" i="37" s="1"/>
  <c r="E57" i="35"/>
  <c r="E98" i="31"/>
  <c r="E112" s="1"/>
  <c r="E107"/>
  <c r="E59"/>
  <c r="E130"/>
  <c r="E131" l="1"/>
  <c r="C36" i="37"/>
  <c r="C40" s="1"/>
  <c r="G71" i="33" l="1"/>
  <c r="G126" s="1"/>
  <c r="G68"/>
  <c r="G124" s="1"/>
  <c r="G69"/>
  <c r="G125" s="1"/>
  <c r="H67"/>
  <c r="H128" s="1"/>
  <c r="D33" i="37" s="1"/>
  <c r="D40" s="1"/>
  <c r="H74" i="33" l="1"/>
  <c r="G70"/>
  <c r="G73" s="1"/>
  <c r="G123" s="1"/>
</calcChain>
</file>

<file path=xl/sharedStrings.xml><?xml version="1.0" encoding="utf-8"?>
<sst xmlns="http://schemas.openxmlformats.org/spreadsheetml/2006/main" count="1277" uniqueCount="895">
  <si>
    <t xml:space="preserve">Total set up costs (costs to train staff) </t>
  </si>
  <si>
    <t>Total cost to deliver structured education</t>
  </si>
  <si>
    <t>Proportion requiring oral medication</t>
  </si>
  <si>
    <t>Proportion requiring insulin or insulin analogues</t>
  </si>
  <si>
    <t>Proportion controlled by oral medication</t>
  </si>
  <si>
    <t>Proportion controlled by insulin or insulin analogues</t>
  </si>
  <si>
    <t>Number controlled by diet and lifestyle changes</t>
  </si>
  <si>
    <t>Number controlled by oral medication</t>
  </si>
  <si>
    <t>Number controlled by insulin or insulin analogues</t>
  </si>
  <si>
    <t>Unit costs of managing women with GDM</t>
  </si>
  <si>
    <t>Additional blood glucose meter</t>
  </si>
  <si>
    <t>Additional lancets</t>
  </si>
  <si>
    <t>Additional test strips</t>
  </si>
  <si>
    <t>Total unit cost of glucose monitoring</t>
  </si>
  <si>
    <t>Cost of treatment with oral mediation</t>
  </si>
  <si>
    <t>Cost of treatment with insulin or insulin analogues</t>
  </si>
  <si>
    <t>Post-natal fasting plasma glucose test</t>
  </si>
  <si>
    <t>Additional blood monitoring kits</t>
  </si>
  <si>
    <t>Total cost of glucose monitoring</t>
  </si>
  <si>
    <t>Glucose monitoring</t>
  </si>
  <si>
    <t>Medication</t>
  </si>
  <si>
    <t>Cost of treatment with oral medication</t>
  </si>
  <si>
    <t>Total annual costs</t>
  </si>
  <si>
    <t>Annual fasting plasma glucose test - year 1</t>
  </si>
  <si>
    <t>Change in cost for treating gestational diabetes - year 1</t>
  </si>
  <si>
    <t>Proportion prescribed Human insulin analogues</t>
  </si>
  <si>
    <t>Proportion prescribed Soluble human insulin</t>
  </si>
  <si>
    <t>Estimated proportion of insulin prescribed in a cartridge</t>
  </si>
  <si>
    <t>Estimated proportion of insulin prescribed in a vial</t>
  </si>
  <si>
    <t>Current prescribing behaviour</t>
  </si>
  <si>
    <t>Insulin dispensed</t>
  </si>
  <si>
    <t>Human insulin analogue</t>
  </si>
  <si>
    <t>Proportion prescribed Novorapid 5x3 mL cartridge</t>
  </si>
  <si>
    <t xml:space="preserve">Soluble insulin </t>
  </si>
  <si>
    <t>Proportion prescribed Humulin S 5x3 mL cartridge</t>
  </si>
  <si>
    <t>Proportion prescribed Humulin S 10mL vial</t>
  </si>
  <si>
    <t>If current market share maintained</t>
  </si>
  <si>
    <r>
      <t xml:space="preserve">Estimated proportion of new patients prescribed </t>
    </r>
    <r>
      <rPr>
        <b/>
        <sz val="10"/>
        <rFont val="Arial"/>
        <family val="2"/>
      </rPr>
      <t>human insulin analogues</t>
    </r>
    <r>
      <rPr>
        <sz val="10"/>
        <rFont val="Arial"/>
        <family val="2"/>
      </rPr>
      <t xml:space="preserve"> (Novorapid)</t>
    </r>
  </si>
  <si>
    <r>
      <t xml:space="preserve">Estimated number of new patients prescribed </t>
    </r>
    <r>
      <rPr>
        <b/>
        <sz val="10"/>
        <rFont val="Arial"/>
        <family val="2"/>
      </rPr>
      <t>human insulin analogues</t>
    </r>
    <r>
      <rPr>
        <sz val="10"/>
        <rFont val="Arial"/>
        <family val="2"/>
      </rPr>
      <t xml:space="preserve"> (Novorapid)</t>
    </r>
  </si>
  <si>
    <r>
      <t xml:space="preserve">Estimated proportion of new patients prescribed </t>
    </r>
    <r>
      <rPr>
        <b/>
        <sz val="10"/>
        <rFont val="Arial"/>
        <family val="2"/>
      </rPr>
      <t>soluble insulin</t>
    </r>
    <r>
      <rPr>
        <sz val="10"/>
        <rFont val="Arial"/>
        <family val="2"/>
      </rPr>
      <t xml:space="preserve"> (Humulin S)</t>
    </r>
  </si>
  <si>
    <r>
      <t xml:space="preserve">Estimated number of new patients prescribed </t>
    </r>
    <r>
      <rPr>
        <b/>
        <sz val="10"/>
        <rFont val="Arial"/>
        <family val="2"/>
      </rPr>
      <t>soluble insulin</t>
    </r>
    <r>
      <rPr>
        <sz val="10"/>
        <rFont val="Arial"/>
        <family val="2"/>
      </rPr>
      <t xml:space="preserve"> (Humulin S)</t>
    </r>
  </si>
  <si>
    <t>Proportion prescribed Novorapid 10mL vial</t>
  </si>
  <si>
    <t>Estimated number of new patients prescribed Novorapid 5x3 mL cartridge</t>
  </si>
  <si>
    <t>Estimated number of new patients prescribed Novorapid 10mL vial</t>
  </si>
  <si>
    <t>Estimated number of new patients prescribed Humulin S 5x3 mL cartridge</t>
  </si>
  <si>
    <t>Estimated total cost of prescribing human insulin analogues</t>
  </si>
  <si>
    <t>Estimated number of new patients prescribed Humulin S 10mL vial</t>
  </si>
  <si>
    <t>Total cost of insulin if current market share is maintained</t>
  </si>
  <si>
    <t xml:space="preserve">If market share changes </t>
  </si>
  <si>
    <t>Total cost of insulin if market share changes</t>
  </si>
  <si>
    <t>Estimated savings from changes in insulins prescribed</t>
  </si>
  <si>
    <t>Total cases of diabetes</t>
  </si>
  <si>
    <t>Proportion of total number of patients who had PCI and a co-morbidity of diabetes</t>
  </si>
  <si>
    <t>Estimated mean number of stents per patient</t>
  </si>
  <si>
    <t>Mean number of stents per patient</t>
  </si>
  <si>
    <t>Estimated number of stents used</t>
  </si>
  <si>
    <t xml:space="preserve">Estimated number of PCI procedures carried out </t>
  </si>
  <si>
    <t>By Hospital</t>
  </si>
  <si>
    <t>PCI unstable angina</t>
  </si>
  <si>
    <t xml:space="preserve">PCI elective angina </t>
  </si>
  <si>
    <t>Edinburgh Royal Infirmary</t>
  </si>
  <si>
    <t>Golden Jubille National hospital</t>
  </si>
  <si>
    <t>Number of people</t>
  </si>
  <si>
    <t>Cost of travel per night</t>
  </si>
  <si>
    <t>Cost of subsistence per night</t>
  </si>
  <si>
    <t>Total travel and subsistence cost</t>
  </si>
  <si>
    <t>X-PERT pack per site</t>
  </si>
  <si>
    <t>Total cost for year 1</t>
  </si>
  <si>
    <r>
      <t xml:space="preserve">X-PERT </t>
    </r>
    <r>
      <rPr>
        <b/>
        <sz val="12"/>
        <rFont val="Arial"/>
        <family val="2"/>
      </rPr>
      <t>for Type 2 diabetes</t>
    </r>
  </si>
  <si>
    <t>Number of days to set up</t>
  </si>
  <si>
    <t>Number of hours per day to set up</t>
  </si>
  <si>
    <t>Course handbooks:</t>
  </si>
  <si>
    <t>Refreshments</t>
  </si>
  <si>
    <t>Travel</t>
  </si>
  <si>
    <t>Number of journeys</t>
  </si>
  <si>
    <t>Total travel cost</t>
  </si>
  <si>
    <t>Training staff to deliver structured education programme X-PERT</t>
  </si>
  <si>
    <t>Estimated number of staff to be trained to deliver X-PERT</t>
  </si>
  <si>
    <t>Number of days, include travel</t>
  </si>
  <si>
    <t>Lanarkshire Cardiac Catheter lab</t>
  </si>
  <si>
    <t>Ninewells Hospital</t>
  </si>
  <si>
    <t xml:space="preserve">Aberdeen Royal Infirmary </t>
  </si>
  <si>
    <t>Total PCI with diabetes</t>
  </si>
  <si>
    <t>Total all PCI</t>
  </si>
  <si>
    <t>Patients with diabetes as % total</t>
  </si>
  <si>
    <t>Proportion of cases for which DES used</t>
  </si>
  <si>
    <t>Number of bare-metal stents (BMS) used</t>
  </si>
  <si>
    <t>Number of DES used</t>
  </si>
  <si>
    <t xml:space="preserve"> BMS to DES Pricing Differential per stent 2008</t>
  </si>
  <si>
    <t>Proportion of which drug-eluting stents (DES)</t>
  </si>
  <si>
    <t>Proposed proportion of PCIs performed that will use DES</t>
  </si>
  <si>
    <t>BMS to DES Pricing Differential per stent 2008</t>
  </si>
  <si>
    <t>Number of BMS used</t>
  </si>
  <si>
    <t>Proportion of total diabetes population</t>
  </si>
  <si>
    <t>Select catheterisation centre</t>
  </si>
  <si>
    <t>Estimated cost to switch to DES, per catheterisation centre</t>
  </si>
  <si>
    <t>Switch to Drug-eluting stents (DES), by catheterisation centre</t>
  </si>
  <si>
    <t>Catheterisation centre</t>
  </si>
  <si>
    <t>Proportion of procedures using DES</t>
  </si>
  <si>
    <t>Proportion of procedures using BMS</t>
  </si>
  <si>
    <t>Switch to DES by diabetes prevalence</t>
  </si>
  <si>
    <t>Estimated cost to switch to DES, by diabetes prevalence</t>
  </si>
  <si>
    <t xml:space="preserve">Cost of fully implementing recommendations nationally and for </t>
  </si>
  <si>
    <t>Unit cost of glucose monitoring:</t>
  </si>
  <si>
    <t>Medication:</t>
  </si>
  <si>
    <t xml:space="preserve">Hourly rate </t>
  </si>
  <si>
    <t>The costing template can be used to estimate both the national and local cost implications of implementing the guideline.  By varying the assumptions and entering in data in the shaded cells that reflect local circumstances, the local cost implications can be estimated.</t>
  </si>
  <si>
    <t>Cost of implementing guidelines in:</t>
  </si>
  <si>
    <t xml:space="preserve">Cost per hour </t>
  </si>
  <si>
    <t>Assumptions and unit costs for structured education programmes</t>
  </si>
  <si>
    <t>Assumptions and unit costs for psychological interventions</t>
  </si>
  <si>
    <t>Assumptions and unit costs for insulin analogues</t>
  </si>
  <si>
    <t>Assumptions and unit costs for gestational diabetes</t>
  </si>
  <si>
    <t>Assumptions and unit costs for drug-eluting stents</t>
  </si>
  <si>
    <t>Assumptions and unit costs for Continuous subcutaneous insulin infusion</t>
  </si>
  <si>
    <t>A health board must be selected in STEP 1. Select Health board, otherwise costs will only be provided at a national level.</t>
  </si>
  <si>
    <t>Introduction</t>
  </si>
  <si>
    <t>How the costing template was developed</t>
  </si>
  <si>
    <t>The development of the costing template for national and local use followed a structured approach which involved:</t>
  </si>
  <si>
    <t>National costing summary</t>
  </si>
  <si>
    <t>Local costing summary</t>
  </si>
  <si>
    <t xml:space="preserve">Recommendations </t>
  </si>
  <si>
    <t>Total cost of recommendations</t>
  </si>
  <si>
    <r>
      <t xml:space="preserve">● </t>
    </r>
    <r>
      <rPr>
        <sz val="12"/>
        <rFont val="Arial"/>
        <family val="2"/>
      </rPr>
      <t>carrying out background research into the appraisal content, current clinical practice, published information and available data.</t>
    </r>
  </si>
  <si>
    <r>
      <t>●</t>
    </r>
    <r>
      <rPr>
        <b/>
        <sz val="12"/>
        <rFont val="Arial"/>
        <family val="2"/>
      </rPr>
      <t xml:space="preserve"> </t>
    </r>
    <r>
      <rPr>
        <sz val="12"/>
        <rFont val="Arial"/>
        <family val="2"/>
      </rPr>
      <t>gathering expert opinion</t>
    </r>
  </si>
  <si>
    <r>
      <t>●</t>
    </r>
    <r>
      <rPr>
        <b/>
        <sz val="12"/>
        <rFont val="Arial"/>
        <family val="2"/>
      </rPr>
      <t xml:space="preserve"> </t>
    </r>
    <r>
      <rPr>
        <sz val="12"/>
        <rFont val="Arial"/>
        <family val="2"/>
      </rPr>
      <t xml:space="preserve">developing a costing model to be used to estimate the cost of implementation </t>
    </r>
  </si>
  <si>
    <r>
      <t xml:space="preserve">● </t>
    </r>
    <r>
      <rPr>
        <sz val="12"/>
        <rFont val="Arial"/>
        <family val="2"/>
      </rPr>
      <t>testing the model, including the assumptions and outcomes</t>
    </r>
  </si>
  <si>
    <r>
      <t xml:space="preserve">● </t>
    </r>
    <r>
      <rPr>
        <sz val="12"/>
        <rFont val="Arial"/>
        <family val="2"/>
      </rPr>
      <t>developing the template and report based on the costing model.</t>
    </r>
  </si>
  <si>
    <t>This costing template is made up of the following worksheets:</t>
  </si>
  <si>
    <t>Title page</t>
  </si>
  <si>
    <t>Can be printed as a cover for reports produced.</t>
  </si>
  <si>
    <t>Unit costs</t>
  </si>
  <si>
    <t xml:space="preserve">STEP 3. Costing Report </t>
  </si>
  <si>
    <t>Summarises the results. If you do not want to amend the estimates then</t>
  </si>
  <si>
    <t>click here to go direct to this summary</t>
  </si>
  <si>
    <t>Reviewing the costing report</t>
  </si>
  <si>
    <t>Comments</t>
  </si>
  <si>
    <t>NHS Quality Improvement Scotland</t>
  </si>
  <si>
    <t>Delta House</t>
  </si>
  <si>
    <t xml:space="preserve">7th Floor Delta House </t>
  </si>
  <si>
    <t>50 West Nile Street</t>
  </si>
  <si>
    <t>Glasgow</t>
  </si>
  <si>
    <t>G1 2NP</t>
  </si>
  <si>
    <t>www.nhshealthquality.org/nhsqis</t>
  </si>
  <si>
    <r>
      <t xml:space="preserve">How to use this document </t>
    </r>
    <r>
      <rPr>
        <b/>
        <sz val="10"/>
        <rFont val="Arial"/>
        <family val="2"/>
      </rPr>
      <t>(this worksheet)</t>
    </r>
  </si>
  <si>
    <t>Management of Diabetes</t>
  </si>
  <si>
    <t>Education</t>
  </si>
  <si>
    <t>Management of diabetes</t>
  </si>
  <si>
    <t>Continuous Subcutaneous Insulin Infusion (CSII) therapy</t>
  </si>
  <si>
    <t>CSII therapy</t>
  </si>
  <si>
    <t>●  Pregnant women with GDM (gestational diabetes mellitus) should be offered dietary advice and blood glucose monitoring and be treated with glucose-lowering therapy depending on target values for fasting and postprandial targets.  Grade A.</t>
  </si>
  <si>
    <t>Note</t>
  </si>
  <si>
    <t>Description</t>
  </si>
  <si>
    <t>●  Children and adolescents [with type 1 diabetes] may use either insulin analogues (rapid-acting and basal), regular human insulin and NPH [Neutral Protamine Hagedorn, a synthetic mixture of insulin and protamine] preparations or an appropriate combination of these.  GRADE B</t>
  </si>
  <si>
    <t>●  Soluble human insulin or rapid-acting insulin analogues can be used when intensifying treatment regimens to improve or maintain glycaemic control [with type 2 diabetes].  GRADE A</t>
  </si>
  <si>
    <t>●  Metformin or glibenclamide may be considered as initial pharmacological, glucose-lowering treatment in women with gestational diabetes.  Grade B</t>
  </si>
  <si>
    <t>Statins</t>
  </si>
  <si>
    <t>Stents</t>
  </si>
  <si>
    <r>
      <t xml:space="preserve">5.3.2:  </t>
    </r>
    <r>
      <rPr>
        <sz val="12"/>
        <rFont val="Arial"/>
        <family val="2"/>
      </rPr>
      <t>An intensified treatment regimen for adults with type 1 diabetes should include either human or rapid-acting insulin analogues.  GRADE B</t>
    </r>
  </si>
  <si>
    <r>
      <t xml:space="preserve">5.3:  </t>
    </r>
    <r>
      <rPr>
        <sz val="12"/>
        <rFont val="Arial"/>
        <family val="2"/>
      </rPr>
      <t>CSII therapy is associated with modest improvements in glycaemic control and should be considered for patients unable to achieve their glycaemic targets  GRADE A</t>
    </r>
  </si>
  <si>
    <r>
      <t xml:space="preserve">8.4.7:  </t>
    </r>
    <r>
      <rPr>
        <sz val="12"/>
        <rFont val="Arial"/>
        <family val="2"/>
      </rPr>
      <t>Intensive lipid lowering therapy with atorvastatin 80 mg should be considered for patients with diabetes and acute coronary syndromes, objective evidence of coronary heart disease or following coronary procedures.  GRADE A</t>
    </r>
  </si>
  <si>
    <r>
      <t xml:space="preserve">4.3.3:  </t>
    </r>
    <r>
      <rPr>
        <sz val="12"/>
        <rFont val="Arial"/>
        <family val="2"/>
      </rPr>
      <t>Children and adults with type 1 and type 2 diabetes should be offered psychological interventions (including motivational interviewing, goal setting, skills and CBT [cognitive behavioural therapy]) to improve glycaemic control in the short and medium term. GRADE A</t>
    </r>
  </si>
  <si>
    <r>
      <t xml:space="preserve">3.2.2:  </t>
    </r>
    <r>
      <rPr>
        <sz val="12"/>
        <rFont val="Arial"/>
        <family val="2"/>
      </rPr>
      <t>Adults with type 2 diabetes should have access to structured education programmes based upon adult learning theories.  Grade A</t>
    </r>
  </si>
  <si>
    <r>
      <t xml:space="preserve">3.2.2:  </t>
    </r>
    <r>
      <rPr>
        <sz val="12"/>
        <rFont val="Arial"/>
        <family val="2"/>
      </rPr>
      <t>Children and adolescents [with type 1 diabetes] should have access to programmes of structured education which have a basis in enhancing problem solving skills.  Grade B</t>
    </r>
  </si>
  <si>
    <t xml:space="preserve">Structured education programmes </t>
  </si>
  <si>
    <t>Psychological  interventions</t>
  </si>
  <si>
    <t>Insulin analogues</t>
  </si>
  <si>
    <t>Lip-lowering therapy</t>
  </si>
  <si>
    <t>Drug-eluting stents</t>
  </si>
  <si>
    <t>Psychological Interventions</t>
  </si>
  <si>
    <t xml:space="preserve">Step 2. Costing Template </t>
  </si>
  <si>
    <r>
      <t>This is used to populate each costing template (STEP 2) with the values associated with the NHS Board selected.  Values in the shaded cells can be altered.                                                                                                                                                           Select an NHS Board using the drop down menu indicated by an arrow beside the words '</t>
    </r>
    <r>
      <rPr>
        <b/>
        <sz val="12"/>
        <rFont val="Arial"/>
        <family val="2"/>
      </rPr>
      <t>Select</t>
    </r>
    <r>
      <rPr>
        <sz val="12"/>
        <rFont val="Arial"/>
        <family val="2"/>
      </rPr>
      <t xml:space="preserve"> </t>
    </r>
    <r>
      <rPr>
        <b/>
        <sz val="12"/>
        <rFont val="Arial"/>
        <family val="2"/>
      </rPr>
      <t>NHS Board'</t>
    </r>
    <r>
      <rPr>
        <sz val="12"/>
        <rFont val="Arial"/>
        <family val="2"/>
      </rPr>
      <t>, otherwise only the values for Scotland will be shown.</t>
    </r>
  </si>
  <si>
    <t xml:space="preserve">The costing template for each recommendation is shown as STEP 2, e.g. STEP 2.Education and is represented by a yellow tab.  Each template provides assumptions and estimates of resources and costs, and can be altered to reflect local circumstances.  </t>
  </si>
  <si>
    <t xml:space="preserve">The left section </t>
  </si>
  <si>
    <t xml:space="preserve">The left section describes the model developed. </t>
  </si>
  <si>
    <t>The right section</t>
  </si>
  <si>
    <t xml:space="preserve">The values assumed and the associated costs are provided for each of the costing templates.  A separate worksheet of unit costs is provided for each of the recommendations.  </t>
  </si>
  <si>
    <t xml:space="preserve">after the desired NHS Board has been selected. </t>
  </si>
  <si>
    <t xml:space="preserve">To view the calculated costs for the NHS Board selected in STEP 1. , click on the tab at the bottom of the screen that says 'STEP 3. Costing Report', ensuring that your desired NHS Board has been selected in STEP 1. Select NHS Board.  This worksheet summarises the cost to implement each of the recommendations and the total to implement all recommendations. </t>
  </si>
  <si>
    <t>A list of each of the key recommendations for which a link to each costing template is provided on the Recommendations worksheet.  Clicking on each of the grey shaded boxes takes you straight to the corresponding template.</t>
  </si>
  <si>
    <t>The values associated with the NHS Board selected in' STEP 1. Select NHS board' will be used for the calculations in this section.  The worksheet is protected to prevent formulae being inadvertently changed, but any shaded cell can be changed to reflect local circumstances.</t>
  </si>
  <si>
    <t>Shaded cells within each of the unit costs worksheets can be changed to more accurately reflect local circumstances and will update the associated template automatically.</t>
  </si>
  <si>
    <t>Note that you can change the value of a parameter either in the unit costs worksheets or in the actual costing templates in STEP 2.  It is not necessary to change in both.</t>
  </si>
  <si>
    <t>Lipid-lowering therapy</t>
  </si>
  <si>
    <r>
      <t>The age distributions of people recorded with type 1 diabetes were provided by the Scottish Diabetes Survey 2009.  The number of 15 and 16 year olds was estimated from the numbers provided for the 15-19 age group.  The analysis was based on 27,367 people recorded with type 1 diabetes.  This was applied to 9,096 people recorded as having an HbA</t>
    </r>
    <r>
      <rPr>
        <vertAlign val="subscript"/>
        <sz val="10"/>
        <rFont val="Arial"/>
        <family val="2"/>
      </rPr>
      <t xml:space="preserve">1c </t>
    </r>
    <r>
      <rPr>
        <sz val="10"/>
        <rFont val="Arial"/>
        <family val="2"/>
      </rPr>
      <t>&gt;9.</t>
    </r>
  </si>
  <si>
    <t>Based on findings from the Healthcare Commission that survey of people with diabetes in England reported that 11% of respondents had participated in an education course.</t>
  </si>
  <si>
    <t xml:space="preserve">Number attending a structured education programme </t>
  </si>
  <si>
    <t>Section 7 of the report 'Management of diabetes  A clinical and resource impact assessment' explains that 63 young people under the age of 16 years with type 2 diabetes are assumed to be offered an insulin pump each year, with the remaining 29 undertaking a structured edication programme.</t>
  </si>
  <si>
    <t>The number of adults with type 2 diabetes and with HbA1c &gt;9 was provided by the Scottish Diabetes Survery 2009.</t>
  </si>
  <si>
    <t>Estimated number of hours spent training</t>
  </si>
  <si>
    <t>Each staff member is assumed to attend a 2-day training course and 2 days of travel time is assumed to be required.  Each session is 7.5 hours.</t>
  </si>
  <si>
    <t>Refer to worksheet Structured education unit costs for a breakdown of the unit costs associated with attending the training course.</t>
  </si>
  <si>
    <t>Delivery of the course comprises 24 hours of education for 6 hours a day over 4 weeks.  An additional 1.5 hours of staff time is assumed to be required beyond the teaching time for quality assurance (QA), audit, preparation and travel.  
It is assumed that the course will be delivered by a dietician (30% input) and a specialist diabetes nurse (70% input).</t>
  </si>
  <si>
    <t>Two days, for 7.5 hours each of administration per course is assumed to be required.</t>
  </si>
  <si>
    <t>The resources required to deliver a tier 3 structured education programme to adults with type 1 diabetes have been modelled on the DAFNE course: Dose Adjustment For Normal Eating and Exercise.</t>
  </si>
  <si>
    <t>The resources required to deliver a tier 2 structured education programme to adults with type 1 diabetes have been modelled on the BERTIE course: Bournemouth Type 1 Intensive Education Programme.</t>
  </si>
  <si>
    <t>NHS Dumfries and Galloway, NHS Grampian, NHS Greater Glasgow &amp; Clyde, NHS Lanarkshire and NHS Lothian already operate DAFNE courses, therefore no further training is assumed to be required at these boards.  It is assumed that at the other boards, two staff are to be trained to deliver DAFNE.</t>
  </si>
  <si>
    <t>Training professional staff to deliver DAFNE is assumed to take 120 hours per person, with 105 hours being training hours and the remaining 15 hours travel time.</t>
  </si>
  <si>
    <t xml:space="preserve">It is assumed that NHS Borders will contract with NHS Lothian to deliver the courses and the NHS Island boards will make a contract with a third party.  </t>
  </si>
  <si>
    <t xml:space="preserve">Each NHS board is assumed to train one specialist diabetes nurse and one dietician, except for NHS Greater Glasgow and Clyde and NHS Lothian who each train four staff. </t>
  </si>
  <si>
    <t>The DAFNE worksheets advise the course requires 10 days to deliver, of which 5 days are face to face contact and the remaining days are for QA, audit, preparation and travel.  
It is assumed that the course will be delivered by a dietician (30% input) and a specialist diabetes nurse (70% input). A consultant physician may have a marginal input of approximately 1 hour per course, but this has not been costed.</t>
  </si>
  <si>
    <t>Tier 2 programme X-PERT</t>
  </si>
  <si>
    <t>The resources required to deliver a tier 2 structured education programme to adults with type 2 diabetes have been modelled on the X-PERT course.</t>
  </si>
  <si>
    <t>The nurse and dietician are assumed to attend a 2-day training course, with 1 further day required for travel time.</t>
  </si>
  <si>
    <t xml:space="preserve">The course duration is usually hours on a week day for 6 weeks.  The staff input is assuemd to be 3.5 hours per session.  
It is assumed that the course will be delivered by a dietician (30% input) and a specialist diabetes nurse (70% input). </t>
  </si>
  <si>
    <t>It is assumed that the administrator spends 3 days, 7.5 hours each arranging each course and provides 3 hours support for the 6 sessions.</t>
  </si>
  <si>
    <t>The number number of people with diabetes, by NHS board, was provided by the Scottish Diabetes Survey 2009.</t>
  </si>
  <si>
    <t>The number of patients with diabetes recorded as ever having had a myocardial infarct and survived, by NHS board, was provided by the Scottish Diabetes Survey 2009.</t>
  </si>
  <si>
    <t>The number of people recorded as having undergone cardiac revascularisation was provided by the Scottish Diabetes Survey 2009</t>
  </si>
  <si>
    <t xml:space="preserve">To estimate the number of patients with unstable angina, the ISD analysis of inpatients coded to ICD10 code 120, described as unstable angina, of 3,683 was used, and a prevalence of diabetes as a co-morbidity of 9.5% - the same as the MI prevalence was assumed. </t>
  </si>
  <si>
    <t xml:space="preserve">Total number of patients </t>
  </si>
  <si>
    <t xml:space="preserve">The cost of atorvastatin was obtained from the British National Formulary, April 2010. </t>
  </si>
  <si>
    <t>The unit cost of £1.41 is the weighted average cost based on a atorvatatin 80mg having an estimated 5% market share.</t>
  </si>
  <si>
    <t>The NHS Board entered in STEP 1. Select NHS Board appears in the title for the costing report.  You may wish to print this sheet and use it as a briefing report to discuss the costing exercise, or as part of a business case for funds for implementation.</t>
  </si>
  <si>
    <t xml:space="preserve">Any comments on the usefulness of this template are very welcome and your feedback will help to improve these templates for future use.  Please send these to: </t>
  </si>
  <si>
    <t>Lisa.wilson3@nhs.net</t>
  </si>
  <si>
    <t>This template provides an estimate of the costs and resources required to implement the key recommendations in SIGN Guideline 116 'Management of Diabetes' , and accompanies the 'Management of diabetes: clinical and resource impact report'. The report should be read for more information relating to the recommendations.</t>
  </si>
  <si>
    <t>The recommendations in the Guideline were prioritised according to their anticipated effect on both patient outcomes and NHS Scotland.   An individual costing template is provided for each recommendation identified as potentially having a major benefit for patients and a material impact on the level or form of service provision.                                                                                                                                                                                                                                                                                        A link to each costing template is available in the 'Recommendations' worksheet. Click on the grey shaded box to go directly to these.</t>
  </si>
  <si>
    <r>
      <t xml:space="preserve">8.6.4:  </t>
    </r>
    <r>
      <rPr>
        <sz val="12"/>
        <rFont val="Arial"/>
        <family val="2"/>
      </rPr>
      <t>In patients with diabetes, drug-eluting stents (DES) are recommended as opposed to bare metal stents (BMS) in stable coronary heart disease or non-ST elevation myocardial infarction to reduce in-stent re-stenosis and target lesion revascularisation. GRADE A</t>
    </r>
  </si>
  <si>
    <r>
      <t xml:space="preserve">7.8: </t>
    </r>
    <r>
      <rPr>
        <sz val="12"/>
        <rFont val="Arial"/>
        <family val="2"/>
      </rPr>
      <t xml:space="preserve"> A suitable programme to detect and treat gestational diabetes should be offered to all women in pregnancy.  Grade A.</t>
    </r>
  </si>
  <si>
    <t>Numbers  to treat</t>
  </si>
  <si>
    <t>The total cost of fully implementing these seven recommendations is estimated to be £2.5 million in the first year.  The annual cost increases reflect the higher number of insulin pumps in use each year.  The NHS incurs additional annual operating costs of about £950 for each pump user, compared with multiple daily injections.  In the first year, 36% of the costs are associated with providing more structured education and 26% with providing insulin pumps.  The recommendation on using a greater proportion of human insulin therapies is anticipated to be cost saving.</t>
  </si>
  <si>
    <r>
      <t xml:space="preserve">3.2.1:  </t>
    </r>
    <r>
      <rPr>
        <sz val="12"/>
        <rFont val="Arial"/>
        <family val="2"/>
      </rPr>
      <t xml:space="preserve">Adults with type 1 diabetes experiencing problems with hypoglycaemia or who fail to achieve                                                                                                                                                                                                                                                 glycaemic targets should have access to structured education programmes based upon adult learning theories.  GRADE A.  </t>
    </r>
  </si>
  <si>
    <t>This document supports the implementation of the SIGN guideline 116 'Management of Diabetes'</t>
  </si>
  <si>
    <t>Age                                                                                                                                                                                                                                                                                  &gt;18</t>
  </si>
  <si>
    <t>Total Type 1 &amp; Type 2 diabetes</t>
  </si>
  <si>
    <t>Proposed psychological intervention:                                                                                                                                                                                                                                                                                                                                                                                                      Cognitive behaviour therapy (CBT)</t>
  </si>
  <si>
    <t>Number of hours of backfill required per staff trainee</t>
  </si>
  <si>
    <t>Total cost of training</t>
  </si>
  <si>
    <t>CBT delivery</t>
  </si>
  <si>
    <t>USED TO ESTIMATE FREQUENCY OF DEPRESSION</t>
  </si>
  <si>
    <t>Table 1: PTI data on depression and anxiety, by age and gender: Scotland, 2007/08</t>
  </si>
  <si>
    <t>Population with diabetes and (co-morbidity) depression, to be offered CBT</t>
  </si>
  <si>
    <t>Anxiety  (1)</t>
  </si>
  <si>
    <t>Depression  (1)</t>
  </si>
  <si>
    <t>Sex</t>
  </si>
  <si>
    <t>Age group</t>
  </si>
  <si>
    <t xml:space="preserve">Patients seen per 1,000 population </t>
  </si>
  <si>
    <t>Estimated patients for Scotland(2)</t>
  </si>
  <si>
    <t>Age groups</t>
  </si>
  <si>
    <t xml:space="preserve">Mean depression patients seen per 1,000 population </t>
  </si>
  <si>
    <t xml:space="preserve">Patients with diabetes </t>
  </si>
  <si>
    <t xml:space="preserve">People with diabetes &amp; (co-morbidity) depression </t>
  </si>
  <si>
    <t>Treated annually if spread over 5 yrs</t>
  </si>
  <si>
    <t>Assume 72% treated</t>
  </si>
  <si>
    <t>Males</t>
  </si>
  <si>
    <t>Under 15</t>
  </si>
  <si>
    <t xml:space="preserve">Under 15 </t>
  </si>
  <si>
    <t>CBT uptake</t>
  </si>
  <si>
    <t xml:space="preserve">15-24 </t>
  </si>
  <si>
    <t xml:space="preserve">25-34 </t>
  </si>
  <si>
    <t xml:space="preserve">35-44 </t>
  </si>
  <si>
    <t>for info only</t>
  </si>
  <si>
    <t xml:space="preserve">45-54 </t>
  </si>
  <si>
    <t>based on same weights type1/2</t>
  </si>
  <si>
    <t>but we know more common in Type 1</t>
  </si>
  <si>
    <t xml:space="preserve">55-64 </t>
  </si>
  <si>
    <t xml:space="preserve">65-74 </t>
  </si>
  <si>
    <t>type 1</t>
  </si>
  <si>
    <t>75+</t>
  </si>
  <si>
    <t>type 2</t>
  </si>
  <si>
    <t xml:space="preserve">All </t>
  </si>
  <si>
    <t>All</t>
  </si>
  <si>
    <t>Females</t>
  </si>
  <si>
    <t>Age group of people recorded with diabetes</t>
  </si>
  <si>
    <t>Year</t>
  </si>
  <si>
    <t>0-14</t>
  </si>
  <si>
    <t>15-44</t>
  </si>
  <si>
    <t>45-64</t>
  </si>
  <si>
    <t>65-84</t>
  </si>
  <si>
    <r>
      <t>&gt;</t>
    </r>
    <r>
      <rPr>
        <b/>
        <sz val="11"/>
        <color indexed="8"/>
        <rFont val="Arial"/>
        <family val="2"/>
      </rPr>
      <t xml:space="preserve"> 85</t>
    </r>
  </si>
  <si>
    <t>Number</t>
  </si>
  <si>
    <t>Percentage</t>
  </si>
  <si>
    <t>75 +</t>
  </si>
  <si>
    <t>Estimated number to attend structured education programme (X-PERT)</t>
  </si>
  <si>
    <t>2. Based on 47 PTI practices that submitted complete GP and practice nurse data for the years ending 31 March 2008.</t>
  </si>
  <si>
    <t>http://www.scotpho.org.uk/home/Healthwell-beinganddisease/MentalHealth/Data/mental_depression.asp</t>
  </si>
  <si>
    <t>Mental health: depression and anxiety</t>
  </si>
  <si>
    <t>Type of diabetes by NHS board and numbers to be offered CBT</t>
  </si>
  <si>
    <t>Round up exclude isles no courses</t>
  </si>
  <si>
    <t xml:space="preserve">NHS board </t>
  </si>
  <si>
    <t xml:space="preserve">Total by board </t>
  </si>
  <si>
    <t>CBT required                                                                                                                                                                                                                                                                                    (max 8 per group)</t>
  </si>
  <si>
    <t xml:space="preserve">Each person can deliver at most </t>
  </si>
  <si>
    <t xml:space="preserve">hrs </t>
  </si>
  <si>
    <t xml:space="preserve">but assume at most 1/3 of time on this </t>
  </si>
  <si>
    <t>say</t>
  </si>
  <si>
    <t xml:space="preserve">Hours per year </t>
  </si>
  <si>
    <t xml:space="preserve">DELIVERY </t>
  </si>
  <si>
    <t>Supervsion trainer psychologist</t>
  </si>
  <si>
    <t>Supervision psycologist hrs per year</t>
  </si>
  <si>
    <t>per person</t>
  </si>
  <si>
    <t>Training</t>
  </si>
  <si>
    <t>Average number in a CBT group</t>
  </si>
  <si>
    <t>Predicted number of CBT groups</t>
  </si>
  <si>
    <t xml:space="preserve">Direct teaching contact                          </t>
  </si>
  <si>
    <t>Tutorial</t>
  </si>
  <si>
    <t xml:space="preserve">Clinical supervision </t>
  </si>
  <si>
    <t>Backfill hours required for:</t>
  </si>
  <si>
    <t>Hours</t>
  </si>
  <si>
    <t>Total backfill required per trainee</t>
  </si>
  <si>
    <t>20/30/50</t>
  </si>
  <si>
    <t>plus 24 % NI &amp;superan</t>
  </si>
  <si>
    <t>TRAINING</t>
  </si>
  <si>
    <t xml:space="preserve">52 weeks-40 leave </t>
  </si>
  <si>
    <t>working hrs a year</t>
  </si>
  <si>
    <t>Pay costs of diabetes staff</t>
  </si>
  <si>
    <t xml:space="preserve">Skill mix of </t>
  </si>
  <si>
    <t>salary</t>
  </si>
  <si>
    <t>plus 24% NI superan</t>
  </si>
  <si>
    <t>Supervision provided by psychologist</t>
  </si>
  <si>
    <t xml:space="preserve">Estimated number of newly trained staff required training </t>
  </si>
  <si>
    <t>Course fees</t>
  </si>
  <si>
    <t>Number of hours per trainee of clinical supervision provided by psychologists during training</t>
  </si>
  <si>
    <t>Total cost of clinical supervision</t>
  </si>
  <si>
    <t>Cost of backfill</t>
  </si>
  <si>
    <t>Cost of course</t>
  </si>
  <si>
    <t>Total annual hours of monthly supervision from psychologist</t>
  </si>
  <si>
    <t>Annual number of hours of supervision from a psychologist per trained staff member</t>
  </si>
  <si>
    <t>Number of hours per month of supervision provided by psychologist per trained staff member</t>
  </si>
  <si>
    <t>On-going monthly supervision provided by psychologist</t>
  </si>
  <si>
    <t>Total annual hours of monthly supervision received per trained staff member</t>
  </si>
  <si>
    <t>Total cost of ongoing supervision</t>
  </si>
  <si>
    <t>Administration</t>
  </si>
  <si>
    <t>Afc Band 3 cost per hour</t>
  </si>
  <si>
    <t>Number of staff to train</t>
  </si>
  <si>
    <t>Number of sessions per course</t>
  </si>
  <si>
    <t>Number of additional hours for preparation and set up/close-down time</t>
  </si>
  <si>
    <t>CBT interventions delivered</t>
  </si>
  <si>
    <t>Total hours per session</t>
  </si>
  <si>
    <t xml:space="preserve">Number of hours per month of supervision from a psychologist, per trained staff member </t>
  </si>
  <si>
    <t>Number of days required per group</t>
  </si>
  <si>
    <t>Course delivery (hours)</t>
  </si>
  <si>
    <t>Training required to deliver CBT group therapy</t>
  </si>
  <si>
    <t>Number of courses required for CBT group therapy</t>
  </si>
  <si>
    <t>Administration hours required per CBT group</t>
  </si>
  <si>
    <t>Mid point</t>
  </si>
  <si>
    <t>AFC band 3</t>
  </si>
  <si>
    <t>Salary</t>
  </si>
  <si>
    <t>plus 23 % NI &amp;superan</t>
  </si>
  <si>
    <t>Hours with patient</t>
  </si>
  <si>
    <t>Cost per hour</t>
  </si>
  <si>
    <t>Total cost of administration</t>
  </si>
  <si>
    <t>Total cost to deliver CBT group therapy</t>
  </si>
  <si>
    <t>●  CSII therapy should be considered in patients who experience recurring episodes of severe hypoglycaemia GRADE B</t>
  </si>
  <si>
    <t>Total number of tier 2 courses required</t>
  </si>
  <si>
    <t>Total cost for administration</t>
  </si>
  <si>
    <t xml:space="preserve">Population with Type 1 diabetes and unable to achieve their glycaemic targets </t>
  </si>
  <si>
    <t xml:space="preserve"> % </t>
  </si>
  <si>
    <t>Numbers</t>
  </si>
  <si>
    <t>Estimates of ≥ 12 years old</t>
  </si>
  <si>
    <t>Estimates of  &lt; 12 years old</t>
  </si>
  <si>
    <t xml:space="preserve">Total population </t>
  </si>
  <si>
    <t>Total children &lt; 12 years old</t>
  </si>
  <si>
    <r>
      <t xml:space="preserve">Total population aged </t>
    </r>
    <r>
      <rPr>
        <u/>
        <sz val="10"/>
        <rFont val="Arial"/>
        <family val="2"/>
      </rPr>
      <t>&gt;</t>
    </r>
    <r>
      <rPr>
        <sz val="10"/>
        <rFont val="Arial"/>
        <family val="2"/>
      </rPr>
      <t xml:space="preserve"> 12 years</t>
    </r>
  </si>
  <si>
    <r>
      <t xml:space="preserve">Estimated uptake of continuous subcutaneous insulin infusion in people aged </t>
    </r>
    <r>
      <rPr>
        <b/>
        <sz val="10"/>
        <rFont val="Arial"/>
        <family val="2"/>
      </rPr>
      <t xml:space="preserve">&lt; 12 years </t>
    </r>
  </si>
  <si>
    <r>
      <t xml:space="preserve">Estimated number of type 1 diabetes melllitus patients who would benefit from continuous subcutaneous insulin infusion aged </t>
    </r>
    <r>
      <rPr>
        <b/>
        <sz val="10"/>
        <rFont val="Arial"/>
        <family val="2"/>
      </rPr>
      <t>&lt; 12 years</t>
    </r>
  </si>
  <si>
    <r>
      <t xml:space="preserve">Estimated number of type 1 diabetes melllitus patients who would benefit from continuous subcutaneous insulin infusion aged </t>
    </r>
    <r>
      <rPr>
        <b/>
        <u/>
        <sz val="10"/>
        <rFont val="Arial"/>
        <family val="2"/>
      </rPr>
      <t>&gt;</t>
    </r>
    <r>
      <rPr>
        <b/>
        <sz val="10"/>
        <rFont val="Arial"/>
        <family val="2"/>
      </rPr>
      <t xml:space="preserve"> 12 years</t>
    </r>
  </si>
  <si>
    <t>Total cases of patients recommended for continuous subcutaneous insulin infusion</t>
  </si>
  <si>
    <t>Estimated % of patients already receiving continuous subcutaneous insulin infusion</t>
  </si>
  <si>
    <t>Estimated number of patients already receiving continuous subcutaneous insulin infusion</t>
  </si>
  <si>
    <t>Estimated number of additional patients for continuous subcutaneous insulin infusion</t>
  </si>
  <si>
    <t>Estimated number of CSII devices</t>
  </si>
  <si>
    <t>Estimated % of CSII devices</t>
  </si>
  <si>
    <t>Per annum assuming 5 years phase in</t>
  </si>
  <si>
    <t>Estimated number of additional children &lt; 12 years old</t>
  </si>
  <si>
    <r>
      <t xml:space="preserve">Estimated number of additional </t>
    </r>
    <r>
      <rPr>
        <u/>
        <sz val="10"/>
        <rFont val="Arial"/>
        <family val="2"/>
      </rPr>
      <t>&gt;</t>
    </r>
    <r>
      <rPr>
        <sz val="10"/>
        <rFont val="Arial"/>
        <family val="2"/>
      </rPr>
      <t xml:space="preserve"> 12 years old</t>
    </r>
  </si>
  <si>
    <t>Consumables</t>
  </si>
  <si>
    <t xml:space="preserve">Consumables </t>
  </si>
  <si>
    <t>Annual cost of providing continuous subcutaneous insulin infusion:</t>
  </si>
  <si>
    <t>Insulin</t>
  </si>
  <si>
    <t>Depreciation - Annualised pump costs</t>
  </si>
  <si>
    <t xml:space="preserve">Pump costs </t>
  </si>
  <si>
    <t>Total cost when all pumps in use</t>
  </si>
  <si>
    <t>Cumulative over 5 years</t>
  </si>
  <si>
    <t>Total estimated cost excluding depreciation</t>
  </si>
  <si>
    <t>Total estimated cost - variable unit costs</t>
  </si>
  <si>
    <t>Estimated cost per unit</t>
  </si>
  <si>
    <t>Less saving through not delivering MDI:</t>
  </si>
  <si>
    <t>Total estimated cost</t>
  </si>
  <si>
    <t>Additional annual recurrent cost of providing continuous subcutaneous insulin infusion compared with MDI</t>
  </si>
  <si>
    <t>Additional cost when all pumps in use</t>
  </si>
  <si>
    <t>Additional consumables costs</t>
  </si>
  <si>
    <t>Additional insulin costs</t>
  </si>
  <si>
    <t>Additional estimated cost - variable unit costs</t>
  </si>
  <si>
    <t>Additional cost per unit</t>
  </si>
  <si>
    <t>Additional costs of providing continuous subcutaneous insulin infusion:</t>
  </si>
  <si>
    <t>Estimated number of patients assessed</t>
  </si>
  <si>
    <t xml:space="preserve">Review meetings </t>
  </si>
  <si>
    <t xml:space="preserve">Number of review meetings </t>
  </si>
  <si>
    <t>Assessment in multidisciplinary clinics</t>
  </si>
  <si>
    <t>Mean hrs per meeting (inc pre and post)</t>
  </si>
  <si>
    <t xml:space="preserve">Mean costs per member </t>
  </si>
  <si>
    <t>Additional staff hrs</t>
  </si>
  <si>
    <t>Specialist Diabetic Nurse</t>
  </si>
  <si>
    <t xml:space="preserve">Specialist Diabetic Dietician </t>
  </si>
  <si>
    <t>Salary Grade</t>
  </si>
  <si>
    <t>Pay Scale</t>
  </si>
  <si>
    <t xml:space="preserve">Banding </t>
  </si>
  <si>
    <t>Costs</t>
  </si>
  <si>
    <t>Consultant</t>
  </si>
  <si>
    <t>MC72</t>
  </si>
  <si>
    <t>AfC</t>
  </si>
  <si>
    <t>mid point 7</t>
  </si>
  <si>
    <t xml:space="preserve">Specialist Diabetic dietician </t>
  </si>
  <si>
    <t>mid point 6</t>
  </si>
  <si>
    <t>http://www.nhscareers.nhs.uk/details/Default.aspx?Id=553</t>
  </si>
  <si>
    <t xml:space="preserve">assume for every 5 reviews 3 successful </t>
  </si>
  <si>
    <t xml:space="preserve">Numbers to be assessed </t>
  </si>
  <si>
    <t>5 people once a quarter but assume some go to 2 meetings so mean agreements per meeting  4</t>
  </si>
  <si>
    <t>Number of meetings</t>
  </si>
  <si>
    <t>Hours with patients per year</t>
  </si>
  <si>
    <t>Cost per meeting</t>
  </si>
  <si>
    <t xml:space="preserve">Consultant </t>
  </si>
  <si>
    <t>Estimated mean preparation and assessment hours per meeting for a Consultant</t>
  </si>
  <si>
    <t>Estimated mean preparation and assessment hours per meeting for a Specialist Diabetic Nurse</t>
  </si>
  <si>
    <t>Estimated mean preparation and assessment hours per meeting for a Specialist Diabetic Dietician</t>
  </si>
  <si>
    <t>Additional hours per patient identified for CSII post assessment</t>
  </si>
  <si>
    <t xml:space="preserve">Total assessment hours and costs </t>
  </si>
  <si>
    <t xml:space="preserve">Diabetes nurse specialist </t>
  </si>
  <si>
    <t>First visit</t>
  </si>
  <si>
    <t>Second visit</t>
  </si>
  <si>
    <t>Third visit</t>
  </si>
  <si>
    <t xml:space="preserve">Pump start to week 4 </t>
  </si>
  <si>
    <t>at 4 weeks</t>
  </si>
  <si>
    <t>Children</t>
  </si>
  <si>
    <r>
      <t xml:space="preserve">Children </t>
    </r>
    <r>
      <rPr>
        <b/>
        <sz val="10"/>
        <rFont val="Arial"/>
        <family val="2"/>
      </rPr>
      <t>(&lt;16 years old)</t>
    </r>
  </si>
  <si>
    <t>Estimated number of children to receive structured education and support</t>
  </si>
  <si>
    <t>Estimated number of adolescents under 16 to receive structured education and support</t>
  </si>
  <si>
    <t>Estimates &lt; 16 years old</t>
  </si>
  <si>
    <t>Estimated hours to deliver structured education and support for a Diabetic nurse specialist</t>
  </si>
  <si>
    <t>Estimated hours to deliver structured education and support for a Specialist Dietician</t>
  </si>
  <si>
    <t>Estimated number of patients attending a tier 3 structured education programme</t>
  </si>
  <si>
    <t>Estimated hours to deliver structured education and support for a Consultant</t>
  </si>
  <si>
    <t>Estimated assessment costs for a Consultant</t>
  </si>
  <si>
    <t>Estimated assessment costs for a Specialist Diabetic Nurse</t>
  </si>
  <si>
    <t>Estimated assessment costs for a Specialist Diabetic Dietician</t>
  </si>
  <si>
    <t>Structured education programme and support: children and adolescents ( under 16 years old)</t>
  </si>
  <si>
    <t>Adolescents</t>
  </si>
  <si>
    <t>Total cost for children</t>
  </si>
  <si>
    <t>mid point 3</t>
  </si>
  <si>
    <t>Administrator</t>
  </si>
  <si>
    <t>http://www.dafne.uk.com/scripts/typeonediabetes/dafnecourse.html</t>
  </si>
  <si>
    <t>Estimated hours of administration per patient</t>
  </si>
  <si>
    <t>Band 5/6/7</t>
  </si>
  <si>
    <t xml:space="preserve">Used band 5 top end </t>
  </si>
  <si>
    <t>Supervision from band 8c/d</t>
  </si>
  <si>
    <t>0141 225 6889</t>
  </si>
  <si>
    <t>Estimated costs to deliver structured education and support for a Diabetic nurse specialist</t>
  </si>
  <si>
    <t>Estimated costs to deliver structured education and support for a Specialist Dietician</t>
  </si>
  <si>
    <t>Estimated costs to deliver structured education and support for a Consultant</t>
  </si>
  <si>
    <t>Estimated administration costs</t>
  </si>
  <si>
    <t>Total cost for adolescents</t>
  </si>
  <si>
    <t>Support for new adults receiving continuous subcutaneous insulin infusion</t>
  </si>
  <si>
    <t>Total cost for children and adolescents</t>
  </si>
  <si>
    <t>Support for new adults receiving CSII</t>
  </si>
  <si>
    <t>FROM DAY 1 USING GLASGOW PATHWAY exclude carbo count</t>
  </si>
  <si>
    <t xml:space="preserve">Pathway for pump therapy </t>
  </si>
  <si>
    <t>day 1</t>
  </si>
  <si>
    <t>day 2</t>
  </si>
  <si>
    <t>day 3</t>
  </si>
  <si>
    <t>during 1 week</t>
  </si>
  <si>
    <t>week 1-2</t>
  </si>
  <si>
    <t>week 4</t>
  </si>
  <si>
    <t>week 8-12</t>
  </si>
  <si>
    <t xml:space="preserve">pump clinic </t>
  </si>
  <si>
    <t xml:space="preserve">Hourly cost </t>
  </si>
  <si>
    <t>Specialist Diabetic Dietician</t>
  </si>
  <si>
    <t>Estimated adults (excluding &lt;16s) to receive CSII</t>
  </si>
  <si>
    <t>Estimated number of adults to follow up</t>
  </si>
  <si>
    <t>Estimated hours to follow up adults for a Diabetic nurse specialist</t>
  </si>
  <si>
    <t>Estimated hours to follow up adults for a Specialist Dietician</t>
  </si>
  <si>
    <t>Estimated hours to follow up adults for a Consultant</t>
  </si>
  <si>
    <t>Estimated costs to follow up adults for a Diabetic nurse specialist</t>
  </si>
  <si>
    <t>Estimated costs to follow up adults for a Specialist Dietician</t>
  </si>
  <si>
    <t>Estimated costs to follow up adults for a Consultant</t>
  </si>
  <si>
    <t>Unit cost                                                                                                                                                                                                                                                                              (£)</t>
  </si>
  <si>
    <t>Total cost                                                                                                                                                                                                                                                                      (£)</t>
  </si>
  <si>
    <t>Total cost to follow up adults</t>
  </si>
  <si>
    <t>Total cost of providing continuous subcutaneous insulin infusion</t>
  </si>
  <si>
    <t>Estimated numbers of adolescents under 16 years old</t>
  </si>
  <si>
    <t>Estimated children under 12 to receive CSII</t>
  </si>
  <si>
    <t>Total children under 12 and adolescents under 16</t>
  </si>
  <si>
    <t>Total cost for a Diabetic nurse specialist</t>
  </si>
  <si>
    <t xml:space="preserve">Unit cost                                                                                                                                                                                                                                                      </t>
  </si>
  <si>
    <t>Training required for two educators</t>
  </si>
  <si>
    <t>Year 1</t>
  </si>
  <si>
    <t>Year 2</t>
  </si>
  <si>
    <t>Year 3</t>
  </si>
  <si>
    <t xml:space="preserve">Number of hours per session </t>
  </si>
  <si>
    <t>Travel and subsistence</t>
  </si>
  <si>
    <t>Costs per night</t>
  </si>
  <si>
    <t>For educators</t>
  </si>
  <si>
    <t>Total travel and subsistence costs</t>
  </si>
  <si>
    <t>Total set up cost per site</t>
  </si>
  <si>
    <t>Required for % of staff</t>
  </si>
  <si>
    <t>Central Administration (annual):</t>
  </si>
  <si>
    <t>Course set up fee per service (first year only)</t>
  </si>
  <si>
    <t>Number of hours per day</t>
  </si>
  <si>
    <t xml:space="preserve">Number of people  </t>
  </si>
  <si>
    <t>Travel costs</t>
  </si>
  <si>
    <t>Costs per day</t>
  </si>
  <si>
    <t>Training staff to deliver structured education programme BERTIE</t>
  </si>
  <si>
    <t>Training staff to deliver structured education programme DAFNE</t>
  </si>
  <si>
    <t>Estimated number of staff to be trained to deliver DAFNE</t>
  </si>
  <si>
    <t>Total cost to train staff to deliver DAFNE</t>
  </si>
  <si>
    <t>Total cost of staff attending training course, including travel</t>
  </si>
  <si>
    <t>Estimated number of hours spent training, including travel time</t>
  </si>
  <si>
    <t xml:space="preserve">Delivering structured education programme (DAFNE) </t>
  </si>
  <si>
    <t xml:space="preserve">Total cost                                                                                                                                                                                                                                                     </t>
  </si>
  <si>
    <t>Structured education programmes</t>
  </si>
  <si>
    <t xml:space="preserve">Course materials </t>
  </si>
  <si>
    <t>Training fees -  BERTIE</t>
  </si>
  <si>
    <t>Meal costs:</t>
  </si>
  <si>
    <t>DAFNE and BERTIE (per day)</t>
  </si>
  <si>
    <t>XPERT (per visit)</t>
  </si>
  <si>
    <t>Travel costs per patient</t>
  </si>
  <si>
    <t>Age group of people recorded with type 1 or Type 2 diabetes</t>
  </si>
  <si>
    <t>Scottish Diabetes Survey 2009</t>
  </si>
  <si>
    <t>Age</t>
  </si>
  <si>
    <t>Type 1 diabetes</t>
  </si>
  <si>
    <t>Type 2 diabetes</t>
  </si>
  <si>
    <t>0-4</t>
  </si>
  <si>
    <t>5-9</t>
  </si>
  <si>
    <t>10-14</t>
  </si>
  <si>
    <t>15-19</t>
  </si>
  <si>
    <t>20-24</t>
  </si>
  <si>
    <t>25-29</t>
  </si>
  <si>
    <t>30-34</t>
  </si>
  <si>
    <t>35-39</t>
  </si>
  <si>
    <t>40-44</t>
  </si>
  <si>
    <t>45-49</t>
  </si>
  <si>
    <t>50-54</t>
  </si>
  <si>
    <t>55-59</t>
  </si>
  <si>
    <t>60-64</t>
  </si>
  <si>
    <t>65-69</t>
  </si>
  <si>
    <t>70-74</t>
  </si>
  <si>
    <t>75-79</t>
  </si>
  <si>
    <t>80-84</t>
  </si>
  <si>
    <r>
      <t>&gt;</t>
    </r>
    <r>
      <rPr>
        <sz val="10"/>
        <rFont val="Arial"/>
        <family val="2"/>
      </rPr>
      <t xml:space="preserve"> 85</t>
    </r>
  </si>
  <si>
    <t>Age unknown</t>
  </si>
  <si>
    <t>Total number  &lt; 16 years old</t>
  </si>
  <si>
    <t>Total number with Type 1 diabetes and HbA1c &gt;9</t>
  </si>
  <si>
    <t>HbA1c &gt; 9.0</t>
  </si>
  <si>
    <t>Number of sessions</t>
  </si>
  <si>
    <t>Number of hours per session</t>
  </si>
  <si>
    <t>Training cost per course</t>
  </si>
  <si>
    <t>Skill mix of:</t>
  </si>
  <si>
    <t>Specialist diabetic nurse</t>
  </si>
  <si>
    <t>Cost to backfill</t>
  </si>
  <si>
    <r>
      <t>Backfill</t>
    </r>
    <r>
      <rPr>
        <sz val="10"/>
        <rFont val="Arial"/>
        <family val="2"/>
      </rPr>
      <t xml:space="preserve"> for :</t>
    </r>
  </si>
  <si>
    <t xml:space="preserve">Travel </t>
  </si>
  <si>
    <t>Travel:</t>
  </si>
  <si>
    <t>Total travel costs</t>
  </si>
  <si>
    <t>Subsistence:</t>
  </si>
  <si>
    <t>Number of nights</t>
  </si>
  <si>
    <t>Cost per night</t>
  </si>
  <si>
    <t>Total subsistence cost</t>
  </si>
  <si>
    <t>Number of days</t>
  </si>
  <si>
    <t>Afc Band 3</t>
  </si>
  <si>
    <t>Cost of administration</t>
  </si>
  <si>
    <t>Course materials:</t>
  </si>
  <si>
    <t>Number of people per course</t>
  </si>
  <si>
    <t>Cost per person</t>
  </si>
  <si>
    <t>Food:</t>
  </si>
  <si>
    <t>Materials cost per course</t>
  </si>
  <si>
    <t>Cost of food per course</t>
  </si>
  <si>
    <t>Training cost per person</t>
  </si>
  <si>
    <t>Administration cost per person</t>
  </si>
  <si>
    <t>Materials cost per person</t>
  </si>
  <si>
    <t>Cost of food per person</t>
  </si>
  <si>
    <t>Travel cost per person</t>
  </si>
  <si>
    <t>Total costs per course per person</t>
  </si>
  <si>
    <t>Estimated number of people per course</t>
  </si>
  <si>
    <t>Maximum number of people per course</t>
  </si>
  <si>
    <t>Tier 2 programme BERTIE</t>
  </si>
  <si>
    <t xml:space="preserve">Estimated number of staff to be trained to deliver BERTIE </t>
  </si>
  <si>
    <r>
      <t>Training course fees</t>
    </r>
    <r>
      <rPr>
        <sz val="10"/>
        <rFont val="Arial"/>
        <family val="2"/>
      </rPr>
      <t>:</t>
    </r>
  </si>
  <si>
    <t>Total cost of training staff</t>
  </si>
  <si>
    <t>Total cost of staff attending training course</t>
  </si>
  <si>
    <t>Total cost to train staff to deliver BERTIE</t>
  </si>
  <si>
    <t xml:space="preserve">Delivering structured education programme (BERTIE) </t>
  </si>
  <si>
    <t>Estimated number of courses to be delivered</t>
  </si>
  <si>
    <t>Cost of training</t>
  </si>
  <si>
    <t>Total training course fees</t>
  </si>
  <si>
    <t>Costs per course delivered:</t>
  </si>
  <si>
    <t>Structured education delivery</t>
  </si>
  <si>
    <t xml:space="preserve">Number of sessions </t>
  </si>
  <si>
    <t>Total cost per course delivered</t>
  </si>
  <si>
    <t>Estimated total cost to deliver structured education programme</t>
  </si>
  <si>
    <t>Estimated number of administration hours</t>
  </si>
  <si>
    <t>Estimated total number of hours to train staff and deliver structured education, including administration</t>
  </si>
  <si>
    <t>Tier 3 programme DAFNE</t>
  </si>
  <si>
    <t>DAFNE (Tier 3 programme)</t>
  </si>
  <si>
    <t>Table 18, Scottish Diabetes Survey 2009</t>
  </si>
  <si>
    <t>Patients with HbA1c &gt; 9.0 recorded in previous 15 months</t>
  </si>
  <si>
    <t>Under 16</t>
  </si>
  <si>
    <t>% of patients who have already received structured education</t>
  </si>
  <si>
    <t>Number each year if provided over 5 years</t>
  </si>
  <si>
    <t>% attending for structured education</t>
  </si>
  <si>
    <t>Estimated percentage of patients with Type 1 diabetes who have already received a structured education programme</t>
  </si>
  <si>
    <t>Estimated percentage of patients with Type 1 diabetes that require a structured education programme</t>
  </si>
  <si>
    <t>Patients under 16 years old</t>
  </si>
  <si>
    <t>Total under 16 year olds</t>
  </si>
  <si>
    <t>Estimated number offered continuous subcutaneous insulin infusion, therefore not requiring structured education programme</t>
  </si>
  <si>
    <t>Total adults aged &gt; 16 years old</t>
  </si>
  <si>
    <t>% of adults that attend a structured education programme</t>
  </si>
  <si>
    <t>Number of adults per year if provided over 5 years</t>
  </si>
  <si>
    <r>
      <t xml:space="preserve">% </t>
    </r>
    <r>
      <rPr>
        <sz val="10"/>
        <rFont val="Arial"/>
        <family val="2"/>
      </rPr>
      <t>assessed for higher intensity tier 3 programme</t>
    </r>
  </si>
  <si>
    <r>
      <t xml:space="preserve">% </t>
    </r>
    <r>
      <rPr>
        <sz val="10"/>
        <rFont val="Arial"/>
        <family val="2"/>
      </rPr>
      <t>assessed for lower intensity tier 2 programme</t>
    </r>
  </si>
  <si>
    <t>Estimated percentage assessed and offered a tier 2 programme</t>
  </si>
  <si>
    <t>Estimated percentage assessed and offered tier 3 programme</t>
  </si>
  <si>
    <t xml:space="preserve">Type 1 diabetes and poor glycaemic control (HbA1C &gt;9) </t>
  </si>
  <si>
    <t xml:space="preserve">Type 2 diabetes and poor glycaemic control (HbA1C &gt;9) </t>
  </si>
  <si>
    <t>Total number of adults with Type 2 diabetes and HbA1c &gt;9</t>
  </si>
  <si>
    <t>Adults (over 16 years old)</t>
  </si>
  <si>
    <t>Number of adults requiring structured education</t>
  </si>
  <si>
    <t>Number of under 16 year olds requiring structured education</t>
  </si>
  <si>
    <t>% that attend a structured education programme</t>
  </si>
  <si>
    <t>Number of adults that attend structured education</t>
  </si>
  <si>
    <t>Estimated number of patients with attending a tier 2 structured education programme</t>
  </si>
  <si>
    <t>Estimated number of patients attending a tier 2 structured education programme</t>
  </si>
  <si>
    <t>Estimated number of people prescribed simvastatin 40mg</t>
  </si>
  <si>
    <t>Estimated % of people prescribed simvastatin 40mg</t>
  </si>
  <si>
    <t>Estimated % of people prescribed atorvastatin 20/40 mg</t>
  </si>
  <si>
    <t>Estimated number of people prescribed atorvastatin 20/40 mg</t>
  </si>
  <si>
    <t>Consultant led Outpatients</t>
  </si>
  <si>
    <t>% of additional patients titrated to atorvastatin 80 mg assumed to be prescribed the drug at an outpatients clinic</t>
  </si>
  <si>
    <t>Estimated number of people prescribed atorvastatin 80 mg</t>
  </si>
  <si>
    <t>Estimated % of people prescribed atorvastatin 80 mg</t>
  </si>
  <si>
    <t>Of which:</t>
  </si>
  <si>
    <t>Total number prescibed a basket of other lipid lowering therapies</t>
  </si>
  <si>
    <t>Future lipid lowering drugs prescribed</t>
  </si>
  <si>
    <t>Weighted average price</t>
  </si>
  <si>
    <t>Estimated % of patients to be swiched to atorvastatin 80 mg from a basket of statins</t>
  </si>
  <si>
    <t>Estimated % of patients to switch to atorvastatin 80 mg</t>
  </si>
  <si>
    <t>Estimated Number of patients to be swiched to atorvastatin 80 mg from a basket of statins</t>
  </si>
  <si>
    <t>Estimated % of patients to remain on basket of other lipid lowering statins</t>
  </si>
  <si>
    <t>Estimated number of patients to remain on basket of other lipid lowering statins</t>
  </si>
  <si>
    <t>Total cost of prescribing lipid lowering statins</t>
  </si>
  <si>
    <t>Costs to switch patients to atorvastatin 80 mg</t>
  </si>
  <si>
    <t>Cost per appointment</t>
  </si>
  <si>
    <t>Estimated % of patients to be prescribed atorvastatin at outpatient clinic</t>
  </si>
  <si>
    <t>Estimated reduction in generic price of atorvastatin after patent expires</t>
  </si>
  <si>
    <t>Estimated reduction in price of atorvastatin 80 mg after patent expires</t>
  </si>
  <si>
    <t>enter 50% or 30% or 0%</t>
  </si>
  <si>
    <t>Population with diabetes, poor glycaemic control who are assessed to benefit from a psychological intervention</t>
  </si>
  <si>
    <t>Estimated percentage of adults who have already received a structured education programme</t>
  </si>
  <si>
    <t>Estimated percentage that require a structured education programme</t>
  </si>
  <si>
    <t>Number requiring structured education</t>
  </si>
  <si>
    <t>Estimated total number attending a tier 2 structured education programme</t>
  </si>
  <si>
    <t>Estimated total number attending a tier 3 structured education programme</t>
  </si>
  <si>
    <t>Estimated number to attend tier 2 structured education programme (BERTIE)</t>
  </si>
  <si>
    <t>Estimated number to attend tier 3 structured education programme (DAFNE)</t>
  </si>
  <si>
    <t>Structured education programme</t>
  </si>
  <si>
    <t>BERTIE (Tier 2 programme)</t>
  </si>
  <si>
    <t>Total cost for a Specialist Dietician</t>
  </si>
  <si>
    <t>Total cost for a Consultant</t>
  </si>
  <si>
    <t>Total cost excluding depreciation</t>
  </si>
  <si>
    <t>Capital outlay</t>
  </si>
  <si>
    <t>5 year capital cost</t>
  </si>
  <si>
    <t>Total</t>
  </si>
  <si>
    <t>Ayrshire &amp; Arran</t>
  </si>
  <si>
    <t>Borders</t>
  </si>
  <si>
    <t>Dumfries &amp; Galloway</t>
  </si>
  <si>
    <t>Fife</t>
  </si>
  <si>
    <t>Forth Valley</t>
  </si>
  <si>
    <t>Grampian</t>
  </si>
  <si>
    <t>Greater Glasgow &amp; Clyde</t>
  </si>
  <si>
    <t>Highland</t>
  </si>
  <si>
    <t>Lanarkshire</t>
  </si>
  <si>
    <t>Lothian</t>
  </si>
  <si>
    <t>Orkney</t>
  </si>
  <si>
    <t>Shetland</t>
  </si>
  <si>
    <t>Tayside</t>
  </si>
  <si>
    <t>Western Isles</t>
  </si>
  <si>
    <t xml:space="preserve">Total </t>
  </si>
  <si>
    <t>NHS Board</t>
  </si>
  <si>
    <t>Select NHS board</t>
  </si>
  <si>
    <t>Step 2. Costing Template</t>
  </si>
  <si>
    <t>NHS board</t>
  </si>
  <si>
    <t>Select your NHS Board in shaded Select NHS Board cell of Step 1</t>
  </si>
  <si>
    <t>Notes</t>
  </si>
  <si>
    <t>Selecting a shaded cell produces an explanation</t>
  </si>
  <si>
    <t>Shaded cells can be amended to reflect NHS board circumstances</t>
  </si>
  <si>
    <t>Simvastatin 40 mg</t>
  </si>
  <si>
    <t>Atorvastatin 20/40 mg</t>
  </si>
  <si>
    <t>Atorvastatin 80 mg</t>
  </si>
  <si>
    <t>Scotland</t>
  </si>
  <si>
    <t>Number of people with diabetes</t>
  </si>
  <si>
    <t>%</t>
  </si>
  <si>
    <t>6 - 11 year olds</t>
  </si>
  <si>
    <t>12 - 18 year olds</t>
  </si>
  <si>
    <t>STEP 1. Select NHS board by using the drop down menu</t>
  </si>
  <si>
    <t>Age  12 -18</t>
  </si>
  <si>
    <t>&gt;18    year olds</t>
  </si>
  <si>
    <t>Source of data: Scottish Diabetes Survey 2009</t>
  </si>
  <si>
    <t>Type 1</t>
  </si>
  <si>
    <t>Type 2</t>
  </si>
  <si>
    <t xml:space="preserve">Age                6 - 11 </t>
  </si>
  <si>
    <t>Predicted future prescribing behaviour</t>
  </si>
  <si>
    <t>Estimated number of new patients for intensified treatment regimen (per NHS board)</t>
  </si>
  <si>
    <t>Estimated vial market share</t>
  </si>
  <si>
    <t>Estimated cartridge market share</t>
  </si>
  <si>
    <t>Insulin preparation:</t>
  </si>
  <si>
    <t>Humin insulin analogue: Novorapid</t>
  </si>
  <si>
    <t>Soluble insulin: Humulin S</t>
  </si>
  <si>
    <t>Insulin classes and preparation assumed</t>
  </si>
  <si>
    <t>Humulin S 10mL vial</t>
  </si>
  <si>
    <t>Humulin S 5x3 mL cartridge</t>
  </si>
  <si>
    <t>Novorapid 10mL vial</t>
  </si>
  <si>
    <t>Novorapid 5x3 mL cartridge</t>
  </si>
  <si>
    <t xml:space="preserve">Estimated % of new patients switching to soluble insulin </t>
  </si>
  <si>
    <t>Estimated % of new patients remaining on human insulin analogues</t>
  </si>
  <si>
    <t>Estimated current cost</t>
  </si>
  <si>
    <t>Recommendations</t>
  </si>
  <si>
    <t>Gestational diabetes</t>
  </si>
  <si>
    <t xml:space="preserve">pre-exisiting or gestational </t>
  </si>
  <si>
    <t xml:space="preserve">Ethnic group </t>
  </si>
  <si>
    <t xml:space="preserve">Total pregnant women with high risk factors </t>
  </si>
  <si>
    <t>High risk factors</t>
  </si>
  <si>
    <t xml:space="preserve">Family history </t>
  </si>
  <si>
    <t>Annual maternities</t>
  </si>
  <si>
    <t>Annual number of women who qualify for screening</t>
  </si>
  <si>
    <t>Annual Maternities</t>
  </si>
  <si>
    <t>Current practice</t>
  </si>
  <si>
    <t>Prevalence of high risk factors</t>
  </si>
  <si>
    <t>BM1&gt;30</t>
  </si>
  <si>
    <t>Previous gestational diabetes</t>
  </si>
  <si>
    <t>High-risk ethnic group</t>
  </si>
  <si>
    <t>Family history of diabetes</t>
  </si>
  <si>
    <t>Total prevalence of gestational diabetes risk factors</t>
  </si>
  <si>
    <t>Screening and testing for gestational diabetes</t>
  </si>
  <si>
    <t>Proportion of units that do not screen</t>
  </si>
  <si>
    <t>Proportion of units offering diagnostic test: 2-hour 75 OGTT to all pregnant women with high risk factors</t>
  </si>
  <si>
    <t>Proportion of units offering biochemical test followed by a diagnostic test where indicated, to all pregnant women with high risk factors</t>
  </si>
  <si>
    <t>Recorded as having had an MI</t>
  </si>
  <si>
    <t>Undergone cardiac revascularisation</t>
  </si>
  <si>
    <t>Total MI and cardiac revascularisation</t>
  </si>
  <si>
    <t>Patients with unstable angina</t>
  </si>
  <si>
    <t>Estimated prevalence of diabetes as co-morbidity of MI</t>
  </si>
  <si>
    <t>Total CHD and diabetes</t>
  </si>
  <si>
    <t>Assumptions and unit costs for Lipid lowering therapy</t>
  </si>
  <si>
    <t>% contraindicated for atorvastatin 80 mg</t>
  </si>
  <si>
    <t>% expected to experience an adverse event</t>
  </si>
  <si>
    <t>Taken from Tables within Scottish Diabetes Survey 2009</t>
  </si>
  <si>
    <t>Estimated number with unstable angina</t>
  </si>
  <si>
    <t>Total number of patients with diabetes</t>
  </si>
  <si>
    <t>Number of patients with Type 1 diabetes recorded as having had an MI</t>
  </si>
  <si>
    <t>Number of patients with Type 2 diabetes recorded as having had an MI</t>
  </si>
  <si>
    <t>Total number of patients with diabetes recorded as having had an MI</t>
  </si>
  <si>
    <t>Total number of patients with Type 1 diabetes that have undergone cardiac revascularisation</t>
  </si>
  <si>
    <t>Total number of patients with Type 2 diabetes that have undergone cardiac revascularisation</t>
  </si>
  <si>
    <t>Total number of patients with diabetes recorded as having undergone cardiac revascularisation</t>
  </si>
  <si>
    <t>Estimated number of patients with unstable angina</t>
  </si>
  <si>
    <t xml:space="preserve">Total number of people with CHD and diabetes </t>
  </si>
  <si>
    <t>Patients not eligible for atorvastatin 80mg:</t>
  </si>
  <si>
    <t>Number expected to experience an adverse event</t>
  </si>
  <si>
    <t>Total % of patients not eligible for atorvastatin 80mg</t>
  </si>
  <si>
    <t>Current lipid lowering drugs prescribed</t>
  </si>
  <si>
    <t>Estimated % of diabetes patients post MI currently prescribed atorvastatin 80mg</t>
  </si>
  <si>
    <t>Estimated % of people with diabetes that have had an MI who are currently prescribed atorvastatin 80mg</t>
  </si>
  <si>
    <t>Estimated number of people with diabetes that have had an MI who are currently prescribed atorvastatin 80mg</t>
  </si>
  <si>
    <t>Estimated % contraindicated to statins</t>
  </si>
  <si>
    <t>Estimated number contraindicated to statins</t>
  </si>
  <si>
    <t>Estimated % expected to experience adverse event</t>
  </si>
  <si>
    <t>Total patients currently prescribed lipid lowering therapies</t>
  </si>
  <si>
    <t>Total number of patients currently prescribed basket of other lipid lowering statins</t>
  </si>
  <si>
    <t>Estimated market share %</t>
  </si>
  <si>
    <t>Price of lipid lowering drugs</t>
  </si>
  <si>
    <t>Drug</t>
  </si>
  <si>
    <t>Current price</t>
  </si>
  <si>
    <t xml:space="preserve">Price reduction in generic atorvastatin </t>
  </si>
  <si>
    <t>-</t>
  </si>
  <si>
    <t>Price of basket of statins</t>
  </si>
  <si>
    <t>Proportion of units offering a biochemical test, followed by a biochemical test where indicated to all pregnant women</t>
  </si>
  <si>
    <t>Proportion of units offering screening and testing via a diagnostic test to all pregnant women with high risk factors</t>
  </si>
  <si>
    <t>Proportion of units offering screening and testing via a biochemical test to all pregnant women with high risk factors, followed by a diagnostic test where indicated</t>
  </si>
  <si>
    <t>Proportion of units offering screening and testing via biochemical test to all pregnant women, followed by a diagnostic test where indicated</t>
  </si>
  <si>
    <t>Proportion of units not screening for gestational diabetes</t>
  </si>
  <si>
    <t>All pregnant women with risk factors tested with diagnostic test</t>
  </si>
  <si>
    <t>Positive detection rate by OGTT</t>
  </si>
  <si>
    <t xml:space="preserve">and if high risk and OGTT tests then %+ </t>
  </si>
  <si>
    <t xml:space="preserve">and if all women and OGTT tests then %+ </t>
  </si>
  <si>
    <t xml:space="preserve">Cost </t>
  </si>
  <si>
    <t>Future practice</t>
  </si>
  <si>
    <t xml:space="preserve"> </t>
  </si>
  <si>
    <t>Lisa Wilson</t>
  </si>
  <si>
    <t>Health Economist</t>
  </si>
  <si>
    <t xml:space="preserve">Allocated on basis of type 1 </t>
  </si>
  <si>
    <t xml:space="preserve">Course 6 sessions 1 hr + 1 hr prep </t>
  </si>
  <si>
    <t>Supervision</t>
  </si>
  <si>
    <t>The estimated cost of implementing each recommendation and the total cost is summarised below.</t>
  </si>
  <si>
    <t>Psychological intervention</t>
  </si>
  <si>
    <t>Costing template for Diabetes - Structured education programmes</t>
  </si>
  <si>
    <t xml:space="preserve">Step 2. Costing template </t>
  </si>
  <si>
    <t>Costing template for Diabetes - Psychological interventions</t>
  </si>
  <si>
    <t>Costing template for Diabetes - Insulin analogues</t>
  </si>
  <si>
    <t>Costing template for Diabetes - Gestational diabetes</t>
  </si>
  <si>
    <t>Costing template for Diabetes - Lipid lowering therapy</t>
  </si>
  <si>
    <t>Costing template for Diabetes - Continuous subcutaneous insulin infusion</t>
  </si>
  <si>
    <t>Costing template for Diabetes - Drug-eluting stents</t>
  </si>
  <si>
    <t>`</t>
  </si>
  <si>
    <t xml:space="preserve">Costing template for Diabetes </t>
  </si>
  <si>
    <t>It is important to read these instructions before proceeding on to STEP 1. Select NHS Board</t>
  </si>
  <si>
    <t>It is possible to change values assumed to more accurately reflect local NHS board circumstances. This is indicated throughout the costing template by the use of shaded cells (this colour).</t>
  </si>
  <si>
    <t>How to use this document</t>
  </si>
  <si>
    <t>STEP 1. Select NHS Board</t>
  </si>
  <si>
    <t>STEP 1.Select NHS Board</t>
  </si>
  <si>
    <r>
      <t xml:space="preserve">If you want to change the numbers diagnosed, or if you have more recent figures                                                                                                                                                                                                                                                         </t>
    </r>
    <r>
      <rPr>
        <sz val="12"/>
        <rFont val="Arial"/>
        <family val="2"/>
      </rPr>
      <t>Different values can be entered into shaded columns by clicking on the cell and entering the new value.</t>
    </r>
  </si>
  <si>
    <t xml:space="preserve">STEP 2. Costing Template (there are seven in total) </t>
  </si>
  <si>
    <t>Adapting costing template to reflect local circumstances</t>
  </si>
  <si>
    <t xml:space="preserve">Random blood test </t>
  </si>
  <si>
    <t xml:space="preserve">Totals </t>
  </si>
  <si>
    <t xml:space="preserve">Staff time </t>
  </si>
  <si>
    <t>Unit cost £</t>
  </si>
  <si>
    <t>Units</t>
  </si>
  <si>
    <t>Total cost £</t>
  </si>
  <si>
    <t>All pregnant women with risk factors screened via biochemical test</t>
  </si>
  <si>
    <t xml:space="preserve">Transport to lab and reporting from lab  </t>
  </si>
  <si>
    <t xml:space="preserve">Staff time to take test </t>
  </si>
  <si>
    <t xml:space="preserve">Unit cost of tests </t>
  </si>
  <si>
    <t xml:space="preserve">Task or consumable </t>
  </si>
  <si>
    <t>OGTT test (2 samples) lab. staff, reagents, instruments</t>
  </si>
  <si>
    <t>Total cost of diagnostic test</t>
  </si>
  <si>
    <t xml:space="preserve">Total cost of random blood glucose test </t>
  </si>
  <si>
    <t>Proportion of women detected as positive</t>
  </si>
  <si>
    <t xml:space="preserve">Number or women testing positive and receiving further diagnostic test </t>
  </si>
  <si>
    <t>Number of positive tests</t>
  </si>
  <si>
    <t>All pregnant women offered screening via a biochemical test</t>
  </si>
  <si>
    <t>Positive detection rate by random blood glucose test in high risk women</t>
  </si>
  <si>
    <t>Positive detection rate by random blood glucose test in all women</t>
  </si>
  <si>
    <t>Total number and cost of diagnostic tests</t>
  </si>
  <si>
    <t>Total number and cost of biochemical tests</t>
  </si>
  <si>
    <t>Total number of cases of gestational diabetes diagnosed currently</t>
  </si>
  <si>
    <t>All pregnant women with high risk factors tested with diagnostic test</t>
  </si>
  <si>
    <t>Proportion of positives detected</t>
  </si>
  <si>
    <t>Number positive tests detected</t>
  </si>
  <si>
    <t>Total number of cases of gestational diabetes diagnosed in the future</t>
  </si>
  <si>
    <t>Change in cost of screening and testing for gestational diabetes</t>
  </si>
  <si>
    <t>Additional cases of gestational diabetes diagnosed</t>
  </si>
  <si>
    <t>Additional diagnostic tests required</t>
  </si>
  <si>
    <t>Total future cost of screening and testing for gestational diabetes</t>
  </si>
  <si>
    <t>Total current cost of screening and testing for gestational diabetes</t>
  </si>
  <si>
    <t>Management of gestational diabetes</t>
  </si>
  <si>
    <t>Proportion controlled by diet and lifestyle changes</t>
  </si>
  <si>
    <t>Total cost to train staff to deliver X-PERT</t>
  </si>
  <si>
    <t xml:space="preserve">Delivering structured education programme (X-PERT) </t>
  </si>
  <si>
    <t>Estimated % that attend a structured education programme</t>
  </si>
  <si>
    <t>Estimated number of adults with type 2 diabetes that attend for structured education</t>
  </si>
  <si>
    <t>Total number of tier 3 courses required</t>
  </si>
  <si>
    <t xml:space="preserve">Total number structured education courses required </t>
  </si>
  <si>
    <t>Total additional staff hours to train staff and deliver structured education programmes</t>
  </si>
  <si>
    <t>Estimated number of hours to deliver structured education for a Diabetic Nurse Specialist</t>
  </si>
  <si>
    <t>Estimated number of hours to deliver structured education for a Specialist Dietician</t>
  </si>
  <si>
    <t>Total estimated number of hours to deliver structured education</t>
  </si>
  <si>
    <t>Total additional hours for a Diabetic Nurse Specialist</t>
  </si>
  <si>
    <t>Total additional hours for a Specialist Dietician</t>
  </si>
  <si>
    <t>Total additional administration hours</t>
  </si>
  <si>
    <t>The course is assumed to be the South of Scotland Cognitive Behavioural Therapy (CBT) Certificate.</t>
  </si>
  <si>
    <t>Data from Information Services Division (ISD) was used to estimate the frequency of depression and showed that about 31 per 1,000 population in Scotland attended their GP practice for depression.  
This rate was adjusted for the higher frequency of depression in people with diabetes.  The Better Diabetes Care Consultation document, published by the Scottish Government in 2009, noted that 20 to 30% of people with diabetes will experience significant depression which is often associated with poor self-care.  The report also stated that in adults with type 1 and type 2 diabetes, the frequency of depression is about twice the rate observed in the general population.  
The Scottish Diabetes Survey 2009 provided and age and sex analysis of people with diabetes in Scotland.  
The frequency rates of depression were applied to the diabetes population, by age group, assuming the frequency of diabetes was double the Scottish average.  This provided and estimate of almost 14,000 people with diabetes and a co-morbidity of depression.  All of these people are assumed to have poor glycaemic control. (The Diabetes Survey 2009 reported that over 33,000 people had recorded HbA1c greater than 9 suggesting 14,000 is a plausible number for those with depression as a co-morbidity.  
This group is assumed to be offered a specific CBT based intervention to improve their glycaemic control and that about 70% take up the offer.  This suggests some 10,000 people could benefit.  It is further assumed that this workload is spread over five years, with the psychology services in Scotland providing about 2,000 interventions per annum.</t>
  </si>
  <si>
    <t>The CBT interventions are delivered as group interventions to a maximum of eight per group.</t>
  </si>
  <si>
    <t>It is assumed that each NHS Board will train one staff member, other than Greater Glasgow &amp; Clyde and Lothian, who will each train two.</t>
  </si>
  <si>
    <t>The course fees were assumed to be £3,500, which is the cost of the Post Graduate Certificate.</t>
  </si>
  <si>
    <t>The staff costs were estimated at £25 per hour for the diabetes staff during training and £50 per hour of contact time.  This assumed the mean costs per staff member were about £33,000, being the midpoint in a range from the top of agenda for change band 5 to the top of band 7 scale.  Twenty four percent for national insurance and superannuation costs were added to give a total staff cost of £41,250.  Assuming a mean number of hours worked of 1,650 per annum gave a cost per hour of £25.
For each person, backfill will be required for 140 hours (the sum of taught time, tutorials and clinical supervision).</t>
  </si>
  <si>
    <t>Each trained staff member receives 4 hours per month supervision from a psychologist, ideally one working within the diabetes service.</t>
  </si>
  <si>
    <t>Administration is provided by an agenda for change band 3, taking one day per group.</t>
  </si>
  <si>
    <t>The analysis assumes cartridges form 80% of the total sales value.</t>
  </si>
  <si>
    <t>Human insulin analogues have over 90% of the short-acting insulin market, measured in sales terms compared to soluble insulin. ISD prescribing data.</t>
  </si>
  <si>
    <t>The costs were taken from the British National Formulary 58.</t>
  </si>
  <si>
    <t>It is assumed that this should be the aim for clinicians intensifying insulin therapy for the first time.</t>
  </si>
  <si>
    <t>The Scottish Diabetes Survey 2009 analysed the age, in five yearly groupings, for all 27,367 people with type 1 diabetes.  These data were used to estimate the number of children under 12 years of age.</t>
  </si>
  <si>
    <t>It is assumed that 25% of children would be judged by clinical experts to be suitable for a pump, and is consistent with the recommendations made by NICE in (Multiple) Technology Appraisal Guidance No 151 - Continuous subcutaneous insulin infusion for the treatment of diabetes mellitus.</t>
  </si>
  <si>
    <t>It is assumed that 10% of adults would be judged by clinical experts to be suitable for a pump, and is consistent with the recommendations made by NICE in (Multiple) Technology Appraisal Guidance No 151 - Continuous subcutaneous insulin infusion for the treatment of diabetes mellitus.</t>
  </si>
  <si>
    <t>Table 22 of the Scottish Diabetes Survey 2009 showed that 533 people already had insulin pumps.</t>
  </si>
  <si>
    <t>It is assumed that five people are assessed to identify three successful patients for pumps.</t>
  </si>
  <si>
    <t>It is assumed that each review meeting considers five potential clients for a pump and that only four cases  are concluded at each meeting, with one case requiring further data.</t>
  </si>
  <si>
    <t>The total maternities in Scotland was provided by the Scottish Diabetes Survey 2009.</t>
  </si>
  <si>
    <r>
      <t xml:space="preserve">Data from SMR02 records provided by ISD, in December 2009, identified that 19% of pregnant mothers in Scotland were obese (defined as body mass index </t>
    </r>
    <r>
      <rPr>
        <u/>
        <sz val="10"/>
        <rFont val="Arial"/>
        <family val="2"/>
      </rPr>
      <t>&gt;</t>
    </r>
    <r>
      <rPr>
        <sz val="10"/>
        <rFont val="Arial"/>
        <family val="2"/>
      </rPr>
      <t xml:space="preserve"> 30) and under 1% had previous gestational diabetes.</t>
    </r>
  </si>
  <si>
    <t>Based on the NICE Clinical Guidelines on 'Diabetes in pregnancy and Antenatal care' (CG0620), it is assumed that 5% of pregnant women are in a high risk ethnic group and 10% have a family history of diabetes.</t>
  </si>
  <si>
    <t>Details of the staff costs are provided in the worksheet entitled 'CSII assumptions and unit costs.</t>
  </si>
  <si>
    <t>Details of unit costs for tests are provided on the worksheet entitled 'GDM Unit costs'.</t>
  </si>
  <si>
    <t>The rate is based on findings of the Hyperglycaemia &amp; Advers Pregnancy Outcome (HAPO) study of 25,505 pregnant women at 15 centres in nine countries (IADPSG, in press 2010),</t>
  </si>
  <si>
    <t>The management of the additional cases detected is assumed to follow the care pathway set put by NICE and has been agreed as appropriate.</t>
  </si>
  <si>
    <t>The total number of patients who had PCI and a co-morbidity of diabetes was provided by The Scottish Coronary Revascularisation Register Annual Report 2008-09.</t>
  </si>
  <si>
    <t>The estimates were obtained from NHS QIS costing tool - 'Drug-eluting stents for the treatment of coronary artery disease', September 2008, which was designed to implement NICE Technology Appraisal Guidance (TA152).</t>
  </si>
  <si>
    <t>The National Procurement contract, 2008/2009, showed a price differential in favour of bare metal stents of approximately £255.</t>
  </si>
  <si>
    <t>Guideline Group members agreed with the assumption that in 75% of  PCIs performed on people with diabetes, a drug-eluting stent is used.</t>
  </si>
  <si>
    <t xml:space="preserve">It is assumed that NHS Borders will contract with NHS Lothian to deliver the two courses required in its area and the NHS Island boards will make a contract with a third party.  </t>
  </si>
  <si>
    <r>
      <t>Estimated uptake of continuous subcutaneous insulin infusion in people aged</t>
    </r>
    <r>
      <rPr>
        <b/>
        <sz val="10"/>
        <rFont val="Arial"/>
        <family val="2"/>
      </rPr>
      <t xml:space="preserve"> </t>
    </r>
    <r>
      <rPr>
        <b/>
        <u/>
        <sz val="10"/>
        <rFont val="Arial"/>
        <family val="2"/>
      </rPr>
      <t>&gt;</t>
    </r>
    <r>
      <rPr>
        <b/>
        <sz val="10"/>
        <rFont val="Arial"/>
        <family val="2"/>
      </rPr>
      <t xml:space="preserve"> 12 years </t>
    </r>
  </si>
  <si>
    <t>Total cost to switch patients to atorvastatin 80 mg</t>
  </si>
  <si>
    <t>Weighted average of Rosuvastatin 40 mg</t>
  </si>
  <si>
    <t>Estimated % of people prescribed rosuvastatin 10 or 20 mg</t>
  </si>
  <si>
    <t>Estimated number of people prescribed rosuvastatin 10 or 20 mg</t>
  </si>
  <si>
    <t>Total number of patients who had a PCI</t>
  </si>
</sst>
</file>

<file path=xl/styles.xml><?xml version="1.0" encoding="utf-8"?>
<styleSheet xmlns="http://schemas.openxmlformats.org/spreadsheetml/2006/main">
  <numFmts count="9">
    <numFmt numFmtId="5" formatCode="&quot;£&quot;#,##0;\-&quot;£&quot;#,##0"/>
    <numFmt numFmtId="6" formatCode="&quot;£&quot;#,##0;[Red]\-&quot;£&quot;#,##0"/>
    <numFmt numFmtId="8" formatCode="&quot;£&quot;#,##0.00;[Red]\-&quot;£&quot;#,##0.00"/>
    <numFmt numFmtId="43" formatCode="_-* #,##0.00_-;\-* #,##0.00_-;_-* &quot;-&quot;??_-;_-@_-"/>
    <numFmt numFmtId="164" formatCode="&quot;£&quot;#,##0"/>
    <numFmt numFmtId="165" formatCode="&quot;£&quot;#,##0.00"/>
    <numFmt numFmtId="166" formatCode="0.0"/>
    <numFmt numFmtId="167" formatCode="0.0%"/>
    <numFmt numFmtId="168" formatCode="#,##0.0"/>
  </numFmts>
  <fonts count="69">
    <font>
      <sz val="12"/>
      <name val="Arial"/>
    </font>
    <font>
      <sz val="10"/>
      <name val="Arial"/>
    </font>
    <font>
      <sz val="10"/>
      <name val="Arial"/>
      <family val="2"/>
    </font>
    <font>
      <b/>
      <sz val="10"/>
      <name val="Arial"/>
      <family val="2"/>
    </font>
    <font>
      <sz val="8"/>
      <name val="Arial"/>
    </font>
    <font>
      <u/>
      <sz val="10"/>
      <color indexed="12"/>
      <name val="Arial"/>
    </font>
    <font>
      <sz val="12"/>
      <name val="Arial"/>
    </font>
    <font>
      <sz val="12"/>
      <name val="Arial"/>
      <family val="2"/>
    </font>
    <font>
      <b/>
      <sz val="12"/>
      <color indexed="9"/>
      <name val="Arial"/>
      <family val="2"/>
    </font>
    <font>
      <b/>
      <sz val="12"/>
      <name val="Arial"/>
      <family val="2"/>
    </font>
    <font>
      <b/>
      <sz val="18"/>
      <name val="Arial"/>
      <family val="2"/>
    </font>
    <font>
      <b/>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indexed="8"/>
      <name val="Arial"/>
      <family val="2"/>
    </font>
    <font>
      <b/>
      <i/>
      <sz val="12"/>
      <name val="Arial"/>
      <family val="2"/>
    </font>
    <font>
      <sz val="11"/>
      <name val="Arial"/>
      <family val="2"/>
    </font>
    <font>
      <b/>
      <sz val="11"/>
      <name val="Arial"/>
      <family val="2"/>
    </font>
    <font>
      <b/>
      <sz val="12"/>
      <name val="Arial"/>
    </font>
    <font>
      <sz val="12"/>
      <name val="Arial"/>
    </font>
    <font>
      <sz val="10"/>
      <color indexed="9"/>
      <name val="Arial"/>
      <family val="2"/>
    </font>
    <font>
      <b/>
      <i/>
      <sz val="10"/>
      <name val="Arial"/>
      <family val="2"/>
    </font>
    <font>
      <b/>
      <sz val="11"/>
      <color indexed="8"/>
      <name val="Arial"/>
      <family val="2"/>
    </font>
    <font>
      <b/>
      <sz val="11"/>
      <color indexed="45"/>
      <name val="Arial"/>
      <family val="2"/>
    </font>
    <font>
      <b/>
      <sz val="12.75"/>
      <color indexed="63"/>
      <name val="Arial"/>
      <family val="2"/>
    </font>
    <font>
      <sz val="12.75"/>
      <color indexed="63"/>
      <name val="Arial"/>
      <family val="2"/>
    </font>
    <font>
      <b/>
      <sz val="12"/>
      <color indexed="63"/>
      <name val="Arial"/>
      <family val="2"/>
    </font>
    <font>
      <b/>
      <sz val="12"/>
      <color indexed="8"/>
      <name val="Arial"/>
      <family val="2"/>
    </font>
    <font>
      <sz val="11"/>
      <color indexed="45"/>
      <name val="Arial"/>
      <family val="2"/>
    </font>
    <font>
      <b/>
      <u/>
      <sz val="11"/>
      <color indexed="8"/>
      <name val="Arial"/>
      <family val="2"/>
    </font>
    <font>
      <b/>
      <sz val="10"/>
      <color indexed="8"/>
      <name val="Arial"/>
      <family val="2"/>
    </font>
    <font>
      <sz val="10"/>
      <color indexed="8"/>
      <name val="Arial"/>
      <family val="2"/>
    </font>
    <font>
      <b/>
      <sz val="9"/>
      <color indexed="8"/>
      <name val="Arial"/>
      <family val="2"/>
    </font>
    <font>
      <b/>
      <sz val="14"/>
      <color indexed="8"/>
      <name val="Arial"/>
      <family val="2"/>
    </font>
    <font>
      <u/>
      <sz val="10"/>
      <name val="Arial"/>
      <family val="2"/>
    </font>
    <font>
      <b/>
      <u/>
      <sz val="10"/>
      <name val="Arial"/>
      <family val="2"/>
    </font>
    <font>
      <b/>
      <sz val="10"/>
      <name val="Arial"/>
    </font>
    <font>
      <sz val="10"/>
      <color indexed="60"/>
      <name val="Arial"/>
    </font>
    <font>
      <sz val="12"/>
      <color indexed="10"/>
      <name val="Arial"/>
      <family val="2"/>
    </font>
    <font>
      <b/>
      <sz val="10"/>
      <color indexed="10"/>
      <name val="Arial"/>
      <family val="2"/>
    </font>
    <font>
      <sz val="14"/>
      <name val="Arial"/>
      <family val="2"/>
    </font>
    <font>
      <b/>
      <sz val="10"/>
      <color indexed="9"/>
      <name val="Arial"/>
      <family val="2"/>
    </font>
    <font>
      <sz val="12"/>
      <color indexed="17"/>
      <name val="Arial"/>
      <family val="2"/>
    </font>
    <font>
      <b/>
      <sz val="20"/>
      <name val="Arial"/>
      <family val="2"/>
    </font>
    <font>
      <b/>
      <sz val="14"/>
      <color indexed="12"/>
      <name val="Arial"/>
      <family val="2"/>
    </font>
    <font>
      <b/>
      <u/>
      <sz val="12"/>
      <name val="Arial"/>
      <family val="2"/>
    </font>
    <font>
      <u/>
      <sz val="14"/>
      <name val="Arial"/>
      <family val="2"/>
    </font>
    <font>
      <sz val="10"/>
      <color indexed="12"/>
      <name val="Arial"/>
      <family val="2"/>
    </font>
    <font>
      <b/>
      <sz val="8"/>
      <color indexed="9"/>
      <name val="Arial"/>
      <family val="2"/>
    </font>
    <font>
      <sz val="12"/>
      <color indexed="9"/>
      <name val="Arial"/>
      <family val="2"/>
    </font>
    <font>
      <u/>
      <sz val="10"/>
      <color indexed="12"/>
      <name val="Arial"/>
      <family val="2"/>
    </font>
    <font>
      <vertAlign val="subscript"/>
      <sz val="10"/>
      <name val="Arial"/>
      <family val="2"/>
    </font>
    <font>
      <sz val="9"/>
      <name val="Arial"/>
      <family val="2"/>
    </font>
    <font>
      <sz val="11"/>
      <color theme="1"/>
      <name val="Calibri"/>
      <family val="2"/>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55"/>
        <bgColor indexed="64"/>
      </patternFill>
    </fill>
    <fill>
      <patternFill patternType="solid">
        <fgColor indexed="26"/>
        <bgColor indexed="64"/>
      </patternFill>
    </fill>
    <fill>
      <patternFill patternType="solid">
        <fgColor indexed="13"/>
        <bgColor indexed="64"/>
      </patternFill>
    </fill>
  </fills>
  <borders count="18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style="thick">
        <color indexed="64"/>
      </right>
      <top/>
      <bottom/>
      <diagonal/>
    </border>
    <border>
      <left style="thick">
        <color indexed="64"/>
      </left>
      <right/>
      <top/>
      <bottom/>
      <diagonal/>
    </border>
    <border>
      <left style="thin">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bottom style="thick">
        <color indexed="64"/>
      </bottom>
      <diagonal/>
    </border>
    <border>
      <left style="medium">
        <color indexed="64"/>
      </left>
      <right/>
      <top/>
      <bottom style="thick">
        <color indexed="64"/>
      </bottom>
      <diagonal/>
    </border>
    <border>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top style="thick">
        <color indexed="64"/>
      </top>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diagonal/>
    </border>
    <border>
      <left/>
      <right style="thin">
        <color indexed="64"/>
      </right>
      <top/>
      <bottom style="thick">
        <color indexed="64"/>
      </bottom>
      <diagonal/>
    </border>
    <border>
      <left/>
      <right style="thick">
        <color indexed="64"/>
      </right>
      <top/>
      <bottom style="thick">
        <color indexed="64"/>
      </bottom>
      <diagonal/>
    </border>
    <border>
      <left style="thick">
        <color indexed="64"/>
      </left>
      <right/>
      <top style="medium">
        <color indexed="64"/>
      </top>
      <bottom style="thick">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bottom style="thick">
        <color indexed="64"/>
      </bottom>
      <diagonal/>
    </border>
    <border>
      <left style="medium">
        <color indexed="64"/>
      </left>
      <right style="thick">
        <color indexed="64"/>
      </right>
      <top/>
      <bottom/>
      <diagonal/>
    </border>
    <border>
      <left style="thick">
        <color indexed="64"/>
      </left>
      <right/>
      <top style="medium">
        <color indexed="64"/>
      </top>
      <bottom/>
      <diagonal/>
    </border>
    <border>
      <left style="medium">
        <color indexed="64"/>
      </left>
      <right style="thick">
        <color indexed="64"/>
      </right>
      <top style="medium">
        <color indexed="64"/>
      </top>
      <bottom/>
      <diagonal/>
    </border>
    <border>
      <left style="thick">
        <color indexed="64"/>
      </left>
      <right/>
      <top/>
      <bottom style="thin">
        <color indexed="64"/>
      </bottom>
      <diagonal/>
    </border>
    <border>
      <left style="medium">
        <color indexed="64"/>
      </left>
      <right style="thick">
        <color indexed="64"/>
      </right>
      <top/>
      <bottom style="thin">
        <color indexed="64"/>
      </bottom>
      <diagonal/>
    </border>
    <border>
      <left style="thick">
        <color indexed="64"/>
      </left>
      <right/>
      <top style="thick">
        <color indexed="64"/>
      </top>
      <bottom/>
      <diagonal/>
    </border>
    <border>
      <left style="medium">
        <color indexed="64"/>
      </left>
      <right style="thick">
        <color indexed="64"/>
      </right>
      <top style="thick">
        <color indexed="64"/>
      </top>
      <bottom style="thick">
        <color indexed="64"/>
      </bottom>
      <diagonal/>
    </border>
    <border>
      <left style="medium">
        <color indexed="64"/>
      </left>
      <right style="thick">
        <color indexed="64"/>
      </right>
      <top style="thick">
        <color indexed="64"/>
      </top>
      <bottom/>
      <diagonal/>
    </border>
    <border>
      <left style="thick">
        <color indexed="64"/>
      </left>
      <right/>
      <top style="thin">
        <color indexed="64"/>
      </top>
      <bottom/>
      <diagonal/>
    </border>
    <border>
      <left style="medium">
        <color indexed="64"/>
      </left>
      <right style="thick">
        <color indexed="64"/>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style="thick">
        <color indexed="64"/>
      </left>
      <right/>
      <top style="medium">
        <color indexed="64"/>
      </top>
      <bottom style="medium">
        <color indexed="64"/>
      </bottom>
      <diagonal/>
    </border>
    <border>
      <left/>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style="thin">
        <color indexed="64"/>
      </bottom>
      <diagonal/>
    </border>
    <border>
      <left style="thick">
        <color indexed="64"/>
      </left>
      <right style="medium">
        <color indexed="64"/>
      </right>
      <top/>
      <bottom style="medium">
        <color indexed="64"/>
      </bottom>
      <diagonal/>
    </border>
    <border>
      <left/>
      <right/>
      <top/>
      <bottom style="thin">
        <color indexed="64"/>
      </bottom>
      <diagonal/>
    </border>
    <border>
      <left style="medium">
        <color indexed="64"/>
      </left>
      <right style="thick">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ck">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thick">
        <color indexed="64"/>
      </right>
      <top style="thin">
        <color indexed="64"/>
      </top>
      <bottom style="thick">
        <color indexed="64"/>
      </bottom>
      <diagonal/>
    </border>
    <border>
      <left/>
      <right style="thick">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medium">
        <color indexed="64"/>
      </right>
      <top style="medium">
        <color indexed="64"/>
      </top>
      <bottom style="thick">
        <color indexed="64"/>
      </bottom>
      <diagonal/>
    </border>
    <border>
      <left/>
      <right/>
      <top style="medium">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uble">
        <color indexed="64"/>
      </bottom>
      <diagonal/>
    </border>
    <border>
      <left/>
      <right style="thick">
        <color indexed="64"/>
      </right>
      <top/>
      <bottom style="double">
        <color indexed="64"/>
      </bottom>
      <diagonal/>
    </border>
    <border>
      <left/>
      <right style="thin">
        <color indexed="64"/>
      </right>
      <top/>
      <bottom style="double">
        <color indexed="64"/>
      </bottom>
      <diagonal/>
    </border>
    <border>
      <left style="thin">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ck">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style="thin">
        <color indexed="64"/>
      </left>
      <right style="thick">
        <color indexed="64"/>
      </right>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ck">
        <color indexed="64"/>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ck">
        <color indexed="64"/>
      </right>
      <top style="thick">
        <color indexed="64"/>
      </top>
      <bottom/>
      <diagonal/>
    </border>
    <border>
      <left style="medium">
        <color indexed="64"/>
      </left>
      <right style="thick">
        <color indexed="64"/>
      </right>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diagonal/>
    </border>
    <border>
      <left style="medium">
        <color indexed="64"/>
      </left>
      <right style="medium">
        <color indexed="64"/>
      </right>
      <top style="thick">
        <color indexed="64"/>
      </top>
      <bottom/>
      <diagonal/>
    </border>
    <border>
      <left/>
      <right style="thick">
        <color indexed="64"/>
      </right>
      <top/>
      <bottom style="medium">
        <color indexed="64"/>
      </bottom>
      <diagonal/>
    </border>
    <border>
      <left style="medium">
        <color indexed="64"/>
      </left>
      <right/>
      <top style="thick">
        <color indexed="64"/>
      </top>
      <bottom style="medium">
        <color indexed="64"/>
      </bottom>
      <diagonal/>
    </border>
    <border>
      <left/>
      <right/>
      <top style="thick">
        <color indexed="64"/>
      </top>
      <bottom style="thick">
        <color indexed="64"/>
      </bottom>
      <diagonal/>
    </border>
    <border>
      <left/>
      <right style="thick">
        <color indexed="64"/>
      </right>
      <top style="medium">
        <color indexed="64"/>
      </top>
      <bottom/>
      <diagonal/>
    </border>
    <border>
      <left style="thick">
        <color indexed="64"/>
      </left>
      <right style="medium">
        <color indexed="64"/>
      </right>
      <top style="medium">
        <color indexed="64"/>
      </top>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medium">
        <color indexed="64"/>
      </bottom>
      <diagonal/>
    </border>
    <border>
      <left style="thick">
        <color indexed="64"/>
      </left>
      <right/>
      <top/>
      <bottom style="medium">
        <color indexed="64"/>
      </bottom>
      <diagonal/>
    </border>
    <border>
      <left/>
      <right style="thick">
        <color indexed="64"/>
      </right>
      <top style="thick">
        <color indexed="64"/>
      </top>
      <bottom style="thin">
        <color indexed="64"/>
      </bottom>
      <diagonal/>
    </border>
    <border>
      <left style="thin">
        <color indexed="64"/>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thin">
        <color indexed="64"/>
      </right>
      <top style="thick">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ck">
        <color indexed="64"/>
      </left>
      <right style="thick">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diagonal/>
    </border>
  </borders>
  <cellStyleXfs count="50">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6" fillId="21" borderId="2" applyNumberFormat="0" applyAlignment="0" applyProtection="0"/>
    <xf numFmtId="43" fontId="1" fillId="0" borderId="0" applyFont="0" applyFill="0" applyBorder="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5" fillId="0" borderId="0" applyNumberFormat="0" applyFill="0" applyBorder="0" applyAlignment="0" applyProtection="0">
      <alignment vertical="top"/>
      <protection locked="0"/>
    </xf>
    <xf numFmtId="0" fontId="22" fillId="7" borderId="1" applyNumberFormat="0" applyAlignment="0" applyProtection="0"/>
    <xf numFmtId="0" fontId="23" fillId="0" borderId="6" applyNumberFormat="0" applyFill="0" applyAlignment="0" applyProtection="0"/>
    <xf numFmtId="0" fontId="24" fillId="22" borderId="0" applyNumberFormat="0" applyBorder="0" applyAlignment="0" applyProtection="0"/>
    <xf numFmtId="0" fontId="68" fillId="0" borderId="0"/>
    <xf numFmtId="0" fontId="12" fillId="0" borderId="0"/>
    <xf numFmtId="0" fontId="1" fillId="0" borderId="0"/>
    <xf numFmtId="0" fontId="1" fillId="0" borderId="0"/>
    <xf numFmtId="0" fontId="1" fillId="0" borderId="0"/>
    <xf numFmtId="0" fontId="1" fillId="0" borderId="0"/>
    <xf numFmtId="0" fontId="12" fillId="23" borderId="7" applyNumberFormat="0" applyFont="0" applyAlignment="0" applyProtection="0"/>
    <xf numFmtId="0" fontId="25" fillId="20" borderId="8" applyNumberForma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0" applyNumberFormat="0" applyFill="0" applyBorder="0" applyAlignment="0" applyProtection="0"/>
  </cellStyleXfs>
  <cellXfs count="1492">
    <xf numFmtId="0" fontId="0" fillId="0" borderId="0" xfId="0"/>
    <xf numFmtId="0" fontId="9" fillId="24" borderId="0" xfId="0" applyFont="1" applyFill="1" applyBorder="1" applyProtection="1"/>
    <xf numFmtId="0" fontId="0" fillId="24" borderId="0" xfId="0" applyFill="1"/>
    <xf numFmtId="0" fontId="8" fillId="24" borderId="10" xfId="0" applyFont="1" applyFill="1" applyBorder="1" applyAlignment="1" applyProtection="1">
      <alignment horizontal="center" vertical="center"/>
    </xf>
    <xf numFmtId="0" fontId="0" fillId="24" borderId="0" xfId="0" applyFill="1" applyBorder="1"/>
    <xf numFmtId="0" fontId="0" fillId="24" borderId="11" xfId="0" applyFill="1" applyBorder="1"/>
    <xf numFmtId="0" fontId="0" fillId="24" borderId="0" xfId="0" applyFill="1" applyBorder="1" applyAlignment="1">
      <alignment horizontal="center"/>
    </xf>
    <xf numFmtId="0" fontId="9" fillId="24" borderId="0" xfId="0" applyFont="1" applyFill="1"/>
    <xf numFmtId="0" fontId="2" fillId="24" borderId="10" xfId="0" applyFont="1" applyFill="1" applyBorder="1" applyProtection="1"/>
    <xf numFmtId="0" fontId="0" fillId="24" borderId="0" xfId="0" applyFill="1" applyAlignment="1">
      <alignment horizontal="center"/>
    </xf>
    <xf numFmtId="0" fontId="1" fillId="24" borderId="0" xfId="0" applyFont="1" applyFill="1" applyBorder="1"/>
    <xf numFmtId="3" fontId="1" fillId="24" borderId="0" xfId="0" applyNumberFormat="1" applyFont="1" applyFill="1" applyBorder="1" applyAlignment="1">
      <alignment horizontal="center"/>
    </xf>
    <xf numFmtId="9" fontId="1" fillId="24" borderId="0" xfId="0" applyNumberFormat="1" applyFont="1" applyFill="1" applyBorder="1" applyAlignment="1">
      <alignment horizontal="center"/>
    </xf>
    <xf numFmtId="164" fontId="1" fillId="24" borderId="0" xfId="0" applyNumberFormat="1" applyFont="1" applyFill="1" applyBorder="1" applyAlignment="1">
      <alignment horizontal="center"/>
    </xf>
    <xf numFmtId="3" fontId="3" fillId="24" borderId="0" xfId="0" applyNumberFormat="1" applyFont="1" applyFill="1" applyBorder="1" applyAlignment="1">
      <alignment horizontal="center"/>
    </xf>
    <xf numFmtId="0" fontId="9" fillId="24" borderId="0" xfId="0" applyFont="1" applyFill="1" applyBorder="1" applyAlignment="1">
      <alignment wrapText="1"/>
    </xf>
    <xf numFmtId="0" fontId="0" fillId="24" borderId="0" xfId="0" applyFill="1" applyAlignment="1">
      <alignment wrapText="1"/>
    </xf>
    <xf numFmtId="0" fontId="9" fillId="24" borderId="0" xfId="0" applyFont="1" applyFill="1" applyAlignment="1">
      <alignment wrapText="1"/>
    </xf>
    <xf numFmtId="0" fontId="6" fillId="24" borderId="0" xfId="0" applyFont="1" applyFill="1"/>
    <xf numFmtId="0" fontId="3" fillId="24" borderId="0" xfId="0" applyFont="1" applyFill="1"/>
    <xf numFmtId="0" fontId="2" fillId="24" borderId="0" xfId="0" applyFont="1" applyFill="1"/>
    <xf numFmtId="0" fontId="2" fillId="24" borderId="0" xfId="0" applyFont="1" applyFill="1" applyBorder="1" applyAlignment="1">
      <alignment horizontal="center"/>
    </xf>
    <xf numFmtId="0" fontId="2" fillId="24" borderId="0" xfId="0" applyFont="1" applyFill="1" applyBorder="1"/>
    <xf numFmtId="0" fontId="2" fillId="24" borderId="0" xfId="0" applyFont="1" applyFill="1" applyBorder="1" applyAlignment="1">
      <alignment wrapText="1"/>
    </xf>
    <xf numFmtId="0" fontId="2" fillId="24" borderId="12" xfId="0" applyFont="1" applyFill="1" applyBorder="1"/>
    <xf numFmtId="0" fontId="3" fillId="24" borderId="0" xfId="0" applyFont="1" applyFill="1" applyBorder="1"/>
    <xf numFmtId="3" fontId="2" fillId="24" borderId="0" xfId="0" applyNumberFormat="1" applyFont="1" applyFill="1" applyBorder="1" applyAlignment="1">
      <alignment horizontal="center"/>
    </xf>
    <xf numFmtId="0" fontId="7" fillId="24" borderId="0" xfId="0" applyFont="1" applyFill="1"/>
    <xf numFmtId="0" fontId="2" fillId="0" borderId="0" xfId="41" applyFont="1"/>
    <xf numFmtId="164" fontId="2" fillId="24" borderId="0" xfId="0" applyNumberFormat="1" applyFont="1" applyFill="1" applyBorder="1" applyAlignment="1">
      <alignment horizontal="center"/>
    </xf>
    <xf numFmtId="3" fontId="2" fillId="24" borderId="0" xfId="0" applyNumberFormat="1" applyFont="1" applyFill="1" applyBorder="1" applyAlignment="1" applyProtection="1">
      <alignment horizontal="center"/>
    </xf>
    <xf numFmtId="0" fontId="3" fillId="24" borderId="0" xfId="0" applyFont="1" applyFill="1" applyBorder="1" applyAlignment="1">
      <alignment horizontal="left" vertical="center" wrapText="1"/>
    </xf>
    <xf numFmtId="0" fontId="3" fillId="25" borderId="12" xfId="0" applyFont="1" applyFill="1" applyBorder="1"/>
    <xf numFmtId="164" fontId="1" fillId="24" borderId="11" xfId="0" applyNumberFormat="1" applyFont="1" applyFill="1" applyBorder="1" applyAlignment="1">
      <alignment horizontal="center"/>
    </xf>
    <xf numFmtId="164" fontId="3" fillId="24" borderId="11" xfId="0" applyNumberFormat="1" applyFont="1" applyFill="1" applyBorder="1" applyAlignment="1">
      <alignment horizontal="center"/>
    </xf>
    <xf numFmtId="164" fontId="2" fillId="24" borderId="11" xfId="0" applyNumberFormat="1" applyFont="1" applyFill="1" applyBorder="1" applyAlignment="1">
      <alignment horizontal="center"/>
    </xf>
    <xf numFmtId="0" fontId="0" fillId="24" borderId="12" xfId="0" applyFill="1" applyBorder="1"/>
    <xf numFmtId="0" fontId="2" fillId="24" borderId="10" xfId="0" applyFont="1" applyFill="1" applyBorder="1"/>
    <xf numFmtId="0" fontId="7" fillId="24" borderId="0" xfId="0" applyFont="1" applyFill="1" applyBorder="1" applyAlignment="1">
      <alignment wrapText="1"/>
    </xf>
    <xf numFmtId="0" fontId="7" fillId="24" borderId="0" xfId="0" applyFont="1" applyFill="1" applyBorder="1" applyAlignment="1">
      <alignment vertical="center" wrapText="1"/>
    </xf>
    <xf numFmtId="0" fontId="33" fillId="24" borderId="0" xfId="0" applyFont="1" applyFill="1"/>
    <xf numFmtId="0" fontId="34" fillId="24" borderId="0" xfId="0" applyFont="1" applyFill="1"/>
    <xf numFmtId="0" fontId="2" fillId="24" borderId="12" xfId="0" applyFont="1" applyFill="1" applyBorder="1" applyAlignment="1">
      <alignment vertical="center" wrapText="1"/>
    </xf>
    <xf numFmtId="164" fontId="0" fillId="24" borderId="11" xfId="0" applyNumberFormat="1" applyFill="1" applyBorder="1" applyAlignment="1">
      <alignment horizontal="center"/>
    </xf>
    <xf numFmtId="0" fontId="46" fillId="24" borderId="0" xfId="40" applyFont="1" applyFill="1" applyAlignment="1">
      <alignment vertical="center" wrapText="1"/>
    </xf>
    <xf numFmtId="0" fontId="46" fillId="24" borderId="0" xfId="40" applyFont="1" applyFill="1"/>
    <xf numFmtId="0" fontId="2" fillId="24" borderId="10" xfId="40" applyFont="1" applyFill="1" applyBorder="1" applyProtection="1"/>
    <xf numFmtId="3" fontId="46" fillId="24" borderId="13" xfId="40" applyNumberFormat="1" applyFont="1" applyFill="1" applyBorder="1"/>
    <xf numFmtId="167" fontId="46" fillId="24" borderId="14" xfId="40" applyNumberFormat="1" applyFont="1" applyFill="1" applyBorder="1" applyAlignment="1">
      <alignment horizontal="center"/>
    </xf>
    <xf numFmtId="3" fontId="46" fillId="24" borderId="15" xfId="40" applyNumberFormat="1" applyFont="1" applyFill="1" applyBorder="1" applyAlignment="1">
      <alignment horizontal="center"/>
    </xf>
    <xf numFmtId="3" fontId="46" fillId="24" borderId="13" xfId="40" applyNumberFormat="1" applyFont="1" applyFill="1" applyBorder="1" applyAlignment="1">
      <alignment horizontal="center"/>
    </xf>
    <xf numFmtId="3" fontId="46" fillId="24" borderId="0" xfId="40" applyNumberFormat="1" applyFont="1" applyFill="1" applyBorder="1" applyAlignment="1">
      <alignment horizontal="center"/>
    </xf>
    <xf numFmtId="3" fontId="46" fillId="24" borderId="16" xfId="40" applyNumberFormat="1" applyFont="1" applyFill="1" applyBorder="1" applyAlignment="1">
      <alignment horizontal="center" vertical="center" wrapText="1"/>
    </xf>
    <xf numFmtId="1" fontId="46" fillId="24" borderId="10" xfId="40" applyNumberFormat="1" applyFont="1" applyFill="1" applyBorder="1" applyAlignment="1">
      <alignment horizontal="center"/>
    </xf>
    <xf numFmtId="1" fontId="46" fillId="24" borderId="16" xfId="40" applyNumberFormat="1" applyFont="1" applyFill="1" applyBorder="1" applyAlignment="1">
      <alignment horizontal="center"/>
    </xf>
    <xf numFmtId="3" fontId="46" fillId="24" borderId="16" xfId="40" applyNumberFormat="1" applyFont="1" applyFill="1" applyBorder="1" applyAlignment="1">
      <alignment horizontal="center"/>
    </xf>
    <xf numFmtId="1" fontId="46" fillId="24" borderId="17" xfId="40" applyNumberFormat="1" applyFont="1" applyFill="1" applyBorder="1" applyAlignment="1">
      <alignment horizontal="center"/>
    </xf>
    <xf numFmtId="1" fontId="46" fillId="24" borderId="18" xfId="40" applyNumberFormat="1" applyFont="1" applyFill="1" applyBorder="1" applyAlignment="1">
      <alignment horizontal="center"/>
    </xf>
    <xf numFmtId="0" fontId="3" fillId="24" borderId="19" xfId="40" applyFont="1" applyFill="1" applyBorder="1" applyProtection="1"/>
    <xf numFmtId="0" fontId="45" fillId="24" borderId="20" xfId="40" applyFont="1" applyFill="1" applyBorder="1" applyAlignment="1">
      <alignment horizontal="center" vertical="center" wrapText="1"/>
    </xf>
    <xf numFmtId="0" fontId="3" fillId="0" borderId="21" xfId="0" applyFont="1" applyFill="1" applyBorder="1" applyAlignment="1" applyProtection="1">
      <alignment horizontal="center" vertical="center" wrapText="1"/>
    </xf>
    <xf numFmtId="3" fontId="45" fillId="24" borderId="21" xfId="40" applyNumberFormat="1" applyFont="1" applyFill="1" applyBorder="1"/>
    <xf numFmtId="9" fontId="45" fillId="24" borderId="22" xfId="40" applyNumberFormat="1" applyFont="1" applyFill="1" applyBorder="1" applyAlignment="1">
      <alignment horizontal="center"/>
    </xf>
    <xf numFmtId="3" fontId="45" fillId="24" borderId="23" xfId="40" applyNumberFormat="1" applyFont="1" applyFill="1" applyBorder="1" applyAlignment="1">
      <alignment horizontal="center"/>
    </xf>
    <xf numFmtId="3" fontId="45" fillId="24" borderId="22" xfId="40" applyNumberFormat="1" applyFont="1" applyFill="1" applyBorder="1" applyAlignment="1">
      <alignment horizontal="center"/>
    </xf>
    <xf numFmtId="0" fontId="45" fillId="24" borderId="0" xfId="40" applyFont="1" applyFill="1"/>
    <xf numFmtId="3" fontId="1" fillId="24" borderId="0" xfId="0" applyNumberFormat="1" applyFont="1" applyFill="1" applyBorder="1" applyAlignment="1" applyProtection="1">
      <alignment horizontal="center"/>
    </xf>
    <xf numFmtId="3" fontId="3" fillId="24" borderId="0" xfId="0" applyNumberFormat="1" applyFont="1" applyFill="1" applyBorder="1" applyAlignment="1" applyProtection="1">
      <alignment horizontal="center"/>
    </xf>
    <xf numFmtId="164" fontId="0" fillId="24" borderId="0" xfId="0" applyNumberFormat="1" applyFill="1" applyAlignment="1">
      <alignment horizontal="center"/>
    </xf>
    <xf numFmtId="164" fontId="0" fillId="24" borderId="0" xfId="0" applyNumberFormat="1" applyFill="1" applyBorder="1" applyAlignment="1">
      <alignment horizontal="center"/>
    </xf>
    <xf numFmtId="164" fontId="9" fillId="24" borderId="0" xfId="0" applyNumberFormat="1" applyFont="1" applyFill="1" applyBorder="1" applyAlignment="1">
      <alignment horizontal="center"/>
    </xf>
    <xf numFmtId="164" fontId="9" fillId="24" borderId="11" xfId="0" applyNumberFormat="1" applyFont="1" applyFill="1" applyBorder="1" applyAlignment="1">
      <alignment horizontal="center"/>
    </xf>
    <xf numFmtId="164" fontId="0" fillId="25" borderId="0" xfId="0" applyNumberFormat="1" applyFill="1" applyBorder="1" applyAlignment="1">
      <alignment horizontal="center"/>
    </xf>
    <xf numFmtId="3" fontId="1" fillId="25" borderId="0" xfId="0" applyNumberFormat="1" applyFont="1" applyFill="1" applyBorder="1" applyAlignment="1" applyProtection="1">
      <alignment horizontal="center"/>
    </xf>
    <xf numFmtId="164" fontId="0" fillId="25" borderId="11" xfId="0" applyNumberFormat="1" applyFill="1" applyBorder="1" applyAlignment="1">
      <alignment horizontal="center"/>
    </xf>
    <xf numFmtId="0" fontId="3" fillId="24" borderId="24" xfId="0" applyFont="1" applyFill="1" applyBorder="1" applyAlignment="1">
      <alignment vertical="center" wrapText="1"/>
    </xf>
    <xf numFmtId="0" fontId="3" fillId="24" borderId="25" xfId="0" applyFont="1" applyFill="1" applyBorder="1" applyAlignment="1">
      <alignment vertical="center" wrapText="1"/>
    </xf>
    <xf numFmtId="0" fontId="3" fillId="24" borderId="24" xfId="0" applyFont="1" applyFill="1" applyBorder="1" applyAlignment="1">
      <alignment horizontal="center" vertical="center" wrapText="1"/>
    </xf>
    <xf numFmtId="0" fontId="3" fillId="24" borderId="26" xfId="0" applyFont="1" applyFill="1" applyBorder="1" applyAlignment="1">
      <alignment horizontal="center" vertical="center" wrapText="1"/>
    </xf>
    <xf numFmtId="164" fontId="7" fillId="24" borderId="11" xfId="0" applyNumberFormat="1" applyFont="1" applyFill="1" applyBorder="1" applyAlignment="1">
      <alignment horizontal="center"/>
    </xf>
    <xf numFmtId="164" fontId="7" fillId="24" borderId="0" xfId="0" applyNumberFormat="1" applyFont="1" applyFill="1" applyBorder="1" applyAlignment="1">
      <alignment horizontal="center"/>
    </xf>
    <xf numFmtId="0" fontId="2" fillId="24" borderId="27" xfId="0" applyFont="1" applyFill="1" applyBorder="1"/>
    <xf numFmtId="164" fontId="3" fillId="24" borderId="0" xfId="0" applyNumberFormat="1" applyFont="1" applyFill="1" applyBorder="1" applyAlignment="1">
      <alignment horizontal="center"/>
    </xf>
    <xf numFmtId="0" fontId="2" fillId="24" borderId="28" xfId="0" applyFont="1" applyFill="1" applyBorder="1"/>
    <xf numFmtId="0" fontId="2" fillId="24" borderId="29" xfId="0" applyFont="1" applyFill="1" applyBorder="1"/>
    <xf numFmtId="0" fontId="46" fillId="24" borderId="30" xfId="0" applyFont="1" applyFill="1" applyBorder="1" applyAlignment="1">
      <alignment vertical="top" wrapText="1"/>
    </xf>
    <xf numFmtId="0" fontId="45" fillId="24" borderId="31" xfId="0" applyFont="1" applyFill="1" applyBorder="1" applyAlignment="1">
      <alignment vertical="top" wrapText="1"/>
    </xf>
    <xf numFmtId="0" fontId="46" fillId="24" borderId="31" xfId="0" applyFont="1" applyFill="1" applyBorder="1" applyAlignment="1">
      <alignment vertical="top" wrapText="1"/>
    </xf>
    <xf numFmtId="0" fontId="46" fillId="24" borderId="32" xfId="0" applyFont="1" applyFill="1" applyBorder="1" applyAlignment="1">
      <alignment vertical="top" wrapText="1"/>
    </xf>
    <xf numFmtId="0" fontId="2" fillId="24" borderId="33" xfId="0" applyFont="1" applyFill="1" applyBorder="1"/>
    <xf numFmtId="0" fontId="9" fillId="24" borderId="34" xfId="0" applyFont="1" applyFill="1" applyBorder="1"/>
    <xf numFmtId="0" fontId="9" fillId="24" borderId="35" xfId="0" applyFont="1" applyFill="1" applyBorder="1" applyAlignment="1">
      <alignment horizontal="center"/>
    </xf>
    <xf numFmtId="0" fontId="9" fillId="24" borderId="24" xfId="0" applyFont="1" applyFill="1" applyBorder="1" applyAlignment="1">
      <alignment horizontal="center"/>
    </xf>
    <xf numFmtId="3" fontId="2" fillId="24" borderId="0" xfId="0" applyNumberFormat="1" applyFont="1" applyFill="1" applyAlignment="1">
      <alignment horizontal="center"/>
    </xf>
    <xf numFmtId="3" fontId="2" fillId="24" borderId="0" xfId="0" applyNumberFormat="1" applyFont="1" applyFill="1"/>
    <xf numFmtId="0" fontId="3" fillId="24" borderId="0" xfId="0" applyFont="1" applyFill="1" applyAlignment="1">
      <alignment vertical="center" wrapText="1"/>
    </xf>
    <xf numFmtId="0" fontId="2" fillId="24" borderId="0" xfId="0" applyFont="1" applyFill="1" applyAlignment="1">
      <alignment vertical="center" wrapText="1"/>
    </xf>
    <xf numFmtId="0" fontId="3" fillId="24" borderId="12" xfId="0" applyFont="1" applyFill="1" applyBorder="1" applyAlignment="1">
      <alignment vertical="center" wrapText="1"/>
    </xf>
    <xf numFmtId="0" fontId="46" fillId="24" borderId="0" xfId="0" applyFont="1" applyFill="1" applyBorder="1" applyAlignment="1">
      <alignment vertical="top" wrapText="1"/>
    </xf>
    <xf numFmtId="6" fontId="46" fillId="24" borderId="0" xfId="0" applyNumberFormat="1" applyFont="1" applyFill="1" applyBorder="1" applyAlignment="1">
      <alignment horizontal="center" vertical="top" wrapText="1"/>
    </xf>
    <xf numFmtId="0" fontId="2" fillId="24" borderId="12" xfId="0" applyFont="1" applyFill="1" applyBorder="1" applyAlignment="1">
      <alignment horizontal="left" vertical="center" wrapText="1"/>
    </xf>
    <xf numFmtId="0" fontId="2" fillId="24" borderId="12" xfId="0" applyFont="1" applyFill="1" applyBorder="1" applyAlignment="1">
      <alignment horizontal="left"/>
    </xf>
    <xf numFmtId="164" fontId="3" fillId="24" borderId="46" xfId="0" applyNumberFormat="1" applyFont="1" applyFill="1" applyBorder="1" applyAlignment="1">
      <alignment horizontal="center"/>
    </xf>
    <xf numFmtId="0" fontId="2" fillId="24" borderId="47" xfId="0" applyFont="1" applyFill="1" applyBorder="1"/>
    <xf numFmtId="0" fontId="3" fillId="25" borderId="48" xfId="0" applyFont="1" applyFill="1" applyBorder="1" applyAlignment="1">
      <alignment horizontal="left"/>
    </xf>
    <xf numFmtId="0" fontId="2" fillId="25" borderId="49" xfId="0" applyFont="1" applyFill="1" applyBorder="1"/>
    <xf numFmtId="0" fontId="3" fillId="25" borderId="12" xfId="0" applyFont="1" applyFill="1" applyBorder="1" applyAlignment="1">
      <alignment horizontal="left"/>
    </xf>
    <xf numFmtId="0" fontId="3" fillId="24" borderId="50" xfId="0" applyFont="1" applyFill="1" applyBorder="1"/>
    <xf numFmtId="164" fontId="3" fillId="24" borderId="51" xfId="0" applyNumberFormat="1" applyFont="1" applyFill="1" applyBorder="1" applyAlignment="1">
      <alignment horizontal="center" vertical="center" wrapText="1"/>
    </xf>
    <xf numFmtId="0" fontId="2" fillId="24" borderId="0" xfId="0" applyFont="1" applyFill="1" applyBorder="1" applyAlignment="1">
      <alignment horizontal="left" vertical="center" wrapText="1"/>
    </xf>
    <xf numFmtId="164" fontId="2" fillId="25" borderId="47" xfId="0" applyNumberFormat="1" applyFont="1" applyFill="1" applyBorder="1" applyAlignment="1">
      <alignment horizontal="center" vertical="center" wrapText="1"/>
    </xf>
    <xf numFmtId="164" fontId="2" fillId="25" borderId="47" xfId="0" applyNumberFormat="1" applyFont="1" applyFill="1" applyBorder="1" applyAlignment="1">
      <alignment horizontal="center"/>
    </xf>
    <xf numFmtId="164" fontId="2" fillId="25" borderId="47" xfId="0" applyNumberFormat="1" applyFont="1" applyFill="1" applyBorder="1" applyAlignment="1">
      <alignment horizontal="center" vertical="center"/>
    </xf>
    <xf numFmtId="0" fontId="2" fillId="24" borderId="52" xfId="0" applyFont="1" applyFill="1" applyBorder="1" applyAlignment="1">
      <alignment vertical="center" wrapText="1"/>
    </xf>
    <xf numFmtId="0" fontId="3" fillId="24" borderId="27" xfId="0" applyFont="1" applyFill="1" applyBorder="1" applyAlignment="1">
      <alignment vertical="center" wrapText="1"/>
    </xf>
    <xf numFmtId="164" fontId="9" fillId="24" borderId="53" xfId="0" applyNumberFormat="1" applyFont="1" applyFill="1" applyBorder="1" applyAlignment="1">
      <alignment horizontal="center"/>
    </xf>
    <xf numFmtId="0" fontId="2" fillId="25" borderId="54" xfId="0" applyFont="1" applyFill="1" applyBorder="1"/>
    <xf numFmtId="0" fontId="2" fillId="25" borderId="47" xfId="0" applyFont="1" applyFill="1" applyBorder="1"/>
    <xf numFmtId="0" fontId="2" fillId="24" borderId="54" xfId="0" applyFont="1" applyFill="1" applyBorder="1" applyAlignment="1">
      <alignment horizontal="center"/>
    </xf>
    <xf numFmtId="0" fontId="3" fillId="25" borderId="55" xfId="0" applyFont="1" applyFill="1" applyBorder="1"/>
    <xf numFmtId="0" fontId="2" fillId="25" borderId="56" xfId="0" applyFont="1" applyFill="1" applyBorder="1"/>
    <xf numFmtId="0" fontId="46" fillId="24" borderId="12" xfId="0" applyFont="1" applyFill="1" applyBorder="1" applyAlignment="1">
      <alignment vertical="top" wrapText="1"/>
    </xf>
    <xf numFmtId="0" fontId="3" fillId="25" borderId="57" xfId="0" applyFont="1" applyFill="1" applyBorder="1"/>
    <xf numFmtId="0" fontId="3" fillId="24" borderId="12" xfId="0" applyFont="1" applyFill="1" applyBorder="1" applyAlignment="1">
      <alignment horizontal="left" vertical="center" wrapText="1"/>
    </xf>
    <xf numFmtId="0" fontId="2" fillId="24" borderId="50" xfId="0" applyFont="1" applyFill="1" applyBorder="1"/>
    <xf numFmtId="164" fontId="2" fillId="24" borderId="51" xfId="0" applyNumberFormat="1" applyFont="1" applyFill="1" applyBorder="1" applyAlignment="1">
      <alignment horizontal="center"/>
    </xf>
    <xf numFmtId="0" fontId="55" fillId="24" borderId="0" xfId="0" applyFont="1" applyFill="1" applyAlignment="1">
      <alignment vertical="center"/>
    </xf>
    <xf numFmtId="0" fontId="3" fillId="24" borderId="50" xfId="0" applyFont="1" applyFill="1" applyBorder="1" applyAlignment="1">
      <alignment vertical="center" wrapText="1"/>
    </xf>
    <xf numFmtId="0" fontId="3" fillId="25" borderId="55" xfId="0" applyFont="1" applyFill="1" applyBorder="1" applyAlignment="1">
      <alignment vertical="center" wrapText="1"/>
    </xf>
    <xf numFmtId="0" fontId="3" fillId="25" borderId="55" xfId="0" applyFont="1" applyFill="1" applyBorder="1" applyAlignment="1"/>
    <xf numFmtId="0" fontId="9" fillId="24" borderId="58" xfId="0" applyFont="1" applyFill="1" applyBorder="1" applyAlignment="1"/>
    <xf numFmtId="0" fontId="3" fillId="24" borderId="59" xfId="0" applyFont="1" applyFill="1" applyBorder="1" applyAlignment="1">
      <alignment vertical="center" wrapText="1"/>
    </xf>
    <xf numFmtId="0" fontId="11" fillId="24" borderId="12" xfId="0" applyFont="1" applyFill="1" applyBorder="1" applyAlignment="1">
      <alignment vertical="center"/>
    </xf>
    <xf numFmtId="0" fontId="9" fillId="24" borderId="31" xfId="0" applyFont="1" applyFill="1" applyBorder="1"/>
    <xf numFmtId="6" fontId="9" fillId="24" borderId="47" xfId="0" applyNumberFormat="1" applyFont="1" applyFill="1" applyBorder="1" applyAlignment="1">
      <alignment horizontal="center"/>
    </xf>
    <xf numFmtId="0" fontId="3" fillId="24" borderId="32" xfId="0" applyFont="1" applyFill="1" applyBorder="1"/>
    <xf numFmtId="0" fontId="3" fillId="25" borderId="15" xfId="0" applyFont="1" applyFill="1" applyBorder="1" applyAlignment="1">
      <alignment horizontal="left"/>
    </xf>
    <xf numFmtId="0" fontId="2" fillId="24" borderId="16" xfId="0" applyFont="1" applyFill="1" applyBorder="1"/>
    <xf numFmtId="0" fontId="3" fillId="24" borderId="16" xfId="0" applyFont="1" applyFill="1" applyBorder="1"/>
    <xf numFmtId="0" fontId="2" fillId="24" borderId="47" xfId="0" applyFont="1" applyFill="1" applyBorder="1" applyAlignment="1">
      <alignment horizontal="center"/>
    </xf>
    <xf numFmtId="6" fontId="2" fillId="25" borderId="54" xfId="0" applyNumberFormat="1" applyFont="1" applyFill="1" applyBorder="1" applyAlignment="1">
      <alignment horizontal="center"/>
    </xf>
    <xf numFmtId="0" fontId="2" fillId="25" borderId="47" xfId="0" applyFont="1" applyFill="1" applyBorder="1" applyAlignment="1">
      <alignment horizontal="center"/>
    </xf>
    <xf numFmtId="164" fontId="3" fillId="24" borderId="27" xfId="0" applyNumberFormat="1" applyFont="1" applyFill="1" applyBorder="1"/>
    <xf numFmtId="6" fontId="3" fillId="24" borderId="47" xfId="0" applyNumberFormat="1" applyFont="1" applyFill="1" applyBorder="1" applyAlignment="1">
      <alignment horizontal="center"/>
    </xf>
    <xf numFmtId="3" fontId="1" fillId="24" borderId="60" xfId="0" applyNumberFormat="1" applyFont="1" applyFill="1" applyBorder="1" applyAlignment="1" applyProtection="1">
      <alignment horizontal="center" vertical="center" wrapText="1"/>
    </xf>
    <xf numFmtId="164" fontId="9" fillId="24" borderId="61" xfId="0" applyNumberFormat="1" applyFont="1" applyFill="1" applyBorder="1" applyAlignment="1">
      <alignment horizontal="center"/>
    </xf>
    <xf numFmtId="164" fontId="0" fillId="24" borderId="62" xfId="0" applyNumberFormat="1" applyFill="1" applyBorder="1" applyAlignment="1">
      <alignment horizontal="center"/>
    </xf>
    <xf numFmtId="164" fontId="1" fillId="24" borderId="60" xfId="0" applyNumberFormat="1" applyFont="1" applyFill="1" applyBorder="1" applyAlignment="1">
      <alignment horizontal="center" vertical="center" wrapText="1"/>
    </xf>
    <xf numFmtId="0" fontId="11" fillId="24" borderId="0" xfId="0" applyFont="1" applyFill="1" applyBorder="1" applyAlignment="1">
      <alignment horizontal="center" vertical="center"/>
    </xf>
    <xf numFmtId="0" fontId="1" fillId="24" borderId="0" xfId="0" applyFont="1" applyFill="1" applyAlignment="1">
      <alignment horizontal="center"/>
    </xf>
    <xf numFmtId="0" fontId="45" fillId="24" borderId="19" xfId="40" applyFont="1" applyFill="1" applyBorder="1" applyAlignment="1">
      <alignment horizontal="center" vertical="center" wrapText="1"/>
    </xf>
    <xf numFmtId="0" fontId="3" fillId="25" borderId="63" xfId="0" applyFont="1" applyFill="1" applyBorder="1"/>
    <xf numFmtId="0" fontId="2" fillId="25" borderId="56" xfId="0" applyFont="1" applyFill="1" applyBorder="1" applyAlignment="1">
      <alignment horizontal="center"/>
    </xf>
    <xf numFmtId="0" fontId="2" fillId="24" borderId="31" xfId="0" applyFont="1" applyFill="1" applyBorder="1"/>
    <xf numFmtId="0" fontId="3" fillId="24" borderId="64" xfId="0" applyFont="1" applyFill="1" applyBorder="1"/>
    <xf numFmtId="0" fontId="2" fillId="24" borderId="63" xfId="0" applyFont="1" applyFill="1" applyBorder="1"/>
    <xf numFmtId="0" fontId="3" fillId="24" borderId="65" xfId="0" applyFont="1" applyFill="1" applyBorder="1"/>
    <xf numFmtId="0" fontId="3" fillId="25" borderId="31" xfId="0" applyFont="1" applyFill="1" applyBorder="1"/>
    <xf numFmtId="0" fontId="3" fillId="25" borderId="47" xfId="0" applyFont="1" applyFill="1" applyBorder="1"/>
    <xf numFmtId="0" fontId="3" fillId="24" borderId="15" xfId="0" applyFont="1" applyFill="1" applyBorder="1" applyAlignment="1">
      <alignment horizontal="left"/>
    </xf>
    <xf numFmtId="0" fontId="2" fillId="24" borderId="49" xfId="0" applyFont="1" applyFill="1" applyBorder="1"/>
    <xf numFmtId="0" fontId="2" fillId="24" borderId="16" xfId="0" applyFont="1" applyFill="1" applyBorder="1" applyAlignment="1">
      <alignment horizontal="left"/>
    </xf>
    <xf numFmtId="164" fontId="1" fillId="24" borderId="0" xfId="0" applyNumberFormat="1" applyFont="1" applyFill="1" applyAlignment="1">
      <alignment horizontal="center"/>
    </xf>
    <xf numFmtId="3" fontId="35" fillId="24" borderId="0" xfId="0" applyNumberFormat="1" applyFont="1" applyFill="1" applyBorder="1" applyAlignment="1" applyProtection="1">
      <alignment horizontal="center"/>
    </xf>
    <xf numFmtId="164" fontId="0" fillId="24" borderId="10" xfId="0" applyNumberFormat="1" applyFill="1" applyBorder="1" applyAlignment="1">
      <alignment horizontal="center"/>
    </xf>
    <xf numFmtId="164" fontId="1" fillId="24" borderId="10" xfId="0" applyNumberFormat="1" applyFont="1" applyFill="1" applyBorder="1" applyAlignment="1">
      <alignment horizontal="center"/>
    </xf>
    <xf numFmtId="164" fontId="3" fillId="24" borderId="10" xfId="0" applyNumberFormat="1" applyFont="1" applyFill="1" applyBorder="1" applyAlignment="1">
      <alignment horizontal="center"/>
    </xf>
    <xf numFmtId="164" fontId="9" fillId="24" borderId="57" xfId="0" applyNumberFormat="1" applyFont="1" applyFill="1" applyBorder="1" applyAlignment="1">
      <alignment horizontal="center"/>
    </xf>
    <xf numFmtId="164" fontId="0" fillId="24" borderId="66" xfId="0" applyNumberFormat="1" applyFill="1" applyBorder="1" applyAlignment="1">
      <alignment horizontal="center"/>
    </xf>
    <xf numFmtId="164" fontId="7" fillId="25" borderId="0" xfId="0" applyNumberFormat="1" applyFont="1" applyFill="1" applyBorder="1" applyAlignment="1">
      <alignment horizontal="center"/>
    </xf>
    <xf numFmtId="3" fontId="7" fillId="25" borderId="0" xfId="0" applyNumberFormat="1" applyFont="1" applyFill="1" applyBorder="1" applyAlignment="1" applyProtection="1">
      <alignment horizontal="center"/>
    </xf>
    <xf numFmtId="164" fontId="7" fillId="25" borderId="11" xfId="0" applyNumberFormat="1" applyFont="1" applyFill="1" applyBorder="1" applyAlignment="1">
      <alignment horizontal="center"/>
    </xf>
    <xf numFmtId="164" fontId="1" fillId="24" borderId="0" xfId="0" applyNumberFormat="1" applyFont="1" applyFill="1" applyBorder="1" applyAlignment="1">
      <alignment horizontal="center" vertical="center" wrapText="1"/>
    </xf>
    <xf numFmtId="3" fontId="1" fillId="24" borderId="0" xfId="0" applyNumberFormat="1" applyFont="1" applyFill="1" applyBorder="1" applyAlignment="1" applyProtection="1">
      <alignment horizontal="center" vertical="center" wrapText="1"/>
    </xf>
    <xf numFmtId="164" fontId="3" fillId="24" borderId="11" xfId="0" applyNumberFormat="1" applyFont="1" applyFill="1" applyBorder="1" applyAlignment="1">
      <alignment horizontal="center" vertical="center" wrapText="1"/>
    </xf>
    <xf numFmtId="0" fontId="45" fillId="24" borderId="23" xfId="40" applyFont="1" applyFill="1" applyBorder="1" applyAlignment="1">
      <alignment vertical="center" wrapText="1"/>
    </xf>
    <xf numFmtId="0" fontId="45" fillId="24" borderId="67" xfId="40" applyFont="1" applyFill="1" applyBorder="1" applyAlignment="1">
      <alignment vertical="center" wrapText="1"/>
    </xf>
    <xf numFmtId="3" fontId="46" fillId="24" borderId="16" xfId="40" applyNumberFormat="1" applyFont="1" applyFill="1" applyBorder="1" applyAlignment="1">
      <alignment horizontal="center" vertical="center"/>
    </xf>
    <xf numFmtId="0" fontId="45" fillId="24" borderId="67" xfId="40" applyFont="1" applyFill="1" applyBorder="1" applyAlignment="1">
      <alignment horizontal="center" vertical="center" wrapText="1"/>
    </xf>
    <xf numFmtId="3" fontId="46" fillId="24" borderId="47" xfId="40" applyNumberFormat="1" applyFont="1" applyFill="1" applyBorder="1" applyAlignment="1">
      <alignment horizontal="center" vertical="center"/>
    </xf>
    <xf numFmtId="3" fontId="46" fillId="24" borderId="0" xfId="40" applyNumberFormat="1" applyFont="1" applyFill="1"/>
    <xf numFmtId="3" fontId="46" fillId="24" borderId="10" xfId="40" applyNumberFormat="1" applyFont="1" applyFill="1" applyBorder="1" applyAlignment="1">
      <alignment horizontal="center" vertical="center"/>
    </xf>
    <xf numFmtId="3" fontId="45" fillId="24" borderId="19" xfId="40" applyNumberFormat="1" applyFont="1" applyFill="1" applyBorder="1" applyAlignment="1">
      <alignment horizontal="center"/>
    </xf>
    <xf numFmtId="3" fontId="46" fillId="24" borderId="47" xfId="40" applyNumberFormat="1" applyFont="1" applyFill="1" applyBorder="1" applyAlignment="1">
      <alignment horizontal="center"/>
    </xf>
    <xf numFmtId="3" fontId="45" fillId="24" borderId="67" xfId="40" applyNumberFormat="1" applyFont="1" applyFill="1" applyBorder="1" applyAlignment="1">
      <alignment horizontal="center"/>
    </xf>
    <xf numFmtId="3" fontId="35" fillId="24" borderId="0" xfId="40" applyNumberFormat="1" applyFont="1" applyFill="1"/>
    <xf numFmtId="0" fontId="35" fillId="24" borderId="0" xfId="40" applyFont="1" applyFill="1"/>
    <xf numFmtId="1" fontId="35" fillId="24" borderId="0" xfId="40" applyNumberFormat="1" applyFont="1" applyFill="1" applyAlignment="1">
      <alignment horizontal="center"/>
    </xf>
    <xf numFmtId="3" fontId="35" fillId="24" borderId="0" xfId="40" applyNumberFormat="1" applyFont="1" applyFill="1" applyAlignment="1">
      <alignment horizontal="center"/>
    </xf>
    <xf numFmtId="167" fontId="46" fillId="24" borderId="0" xfId="40" applyNumberFormat="1" applyFont="1" applyFill="1"/>
    <xf numFmtId="0" fontId="8" fillId="24" borderId="12" xfId="0" applyFont="1" applyFill="1" applyBorder="1" applyAlignment="1" applyProtection="1">
      <alignment horizontal="center" vertical="center"/>
    </xf>
    <xf numFmtId="0" fontId="45" fillId="24" borderId="68" xfId="40" applyFont="1" applyFill="1" applyBorder="1" applyAlignment="1">
      <alignment horizontal="center" vertical="center" wrapText="1"/>
    </xf>
    <xf numFmtId="0" fontId="0" fillId="24" borderId="69" xfId="0" applyFill="1" applyBorder="1"/>
    <xf numFmtId="0" fontId="0" fillId="0" borderId="12" xfId="0" applyBorder="1"/>
    <xf numFmtId="0" fontId="0" fillId="0" borderId="0" xfId="0" applyBorder="1"/>
    <xf numFmtId="0" fontId="0" fillId="0" borderId="11" xfId="0" applyBorder="1"/>
    <xf numFmtId="0" fontId="0" fillId="0" borderId="69" xfId="0" applyBorder="1"/>
    <xf numFmtId="3" fontId="46" fillId="24" borderId="11" xfId="40" applyNumberFormat="1" applyFont="1" applyFill="1" applyBorder="1" applyAlignment="1">
      <alignment horizontal="center" vertical="center"/>
    </xf>
    <xf numFmtId="0" fontId="45" fillId="24" borderId="59" xfId="40" applyFont="1" applyFill="1" applyBorder="1" applyAlignment="1">
      <alignment vertical="center" wrapText="1"/>
    </xf>
    <xf numFmtId="0" fontId="45" fillId="24" borderId="59" xfId="40" applyFont="1" applyFill="1" applyBorder="1" applyAlignment="1">
      <alignment horizontal="center" vertical="center" wrapText="1"/>
    </xf>
    <xf numFmtId="0" fontId="3" fillId="24" borderId="20" xfId="0" applyFont="1" applyFill="1" applyBorder="1" applyAlignment="1" applyProtection="1">
      <alignment horizontal="center" vertical="center" wrapText="1"/>
    </xf>
    <xf numFmtId="0" fontId="3" fillId="24" borderId="68" xfId="0" applyFont="1" applyFill="1" applyBorder="1" applyAlignment="1" applyProtection="1">
      <alignment horizontal="center" vertical="center" wrapText="1"/>
    </xf>
    <xf numFmtId="0" fontId="3" fillId="24" borderId="59" xfId="0" applyFont="1" applyFill="1" applyBorder="1" applyAlignment="1" applyProtection="1">
      <alignment horizontal="center" vertical="center" wrapText="1"/>
    </xf>
    <xf numFmtId="0" fontId="45" fillId="24" borderId="70" xfId="40" applyFont="1" applyFill="1" applyBorder="1" applyAlignment="1">
      <alignment vertical="center" wrapText="1"/>
    </xf>
    <xf numFmtId="0" fontId="7" fillId="24" borderId="0" xfId="43" applyFont="1" applyFill="1" applyBorder="1" applyProtection="1">
      <protection hidden="1"/>
    </xf>
    <xf numFmtId="0" fontId="9" fillId="24" borderId="0" xfId="43" applyFont="1" applyFill="1" applyBorder="1" applyProtection="1">
      <protection hidden="1"/>
    </xf>
    <xf numFmtId="43" fontId="9" fillId="24" borderId="0" xfId="28" applyNumberFormat="1" applyFont="1" applyFill="1" applyBorder="1" applyAlignment="1" applyProtection="1">
      <alignment vertical="top"/>
      <protection hidden="1"/>
    </xf>
    <xf numFmtId="164" fontId="9" fillId="24" borderId="0" xfId="43" applyNumberFormat="1" applyFont="1" applyFill="1" applyBorder="1" applyAlignment="1" applyProtection="1">
      <alignment horizontal="center"/>
      <protection hidden="1"/>
    </xf>
    <xf numFmtId="0" fontId="11" fillId="24" borderId="0" xfId="0" applyFont="1" applyFill="1" applyAlignment="1">
      <alignment wrapText="1"/>
    </xf>
    <xf numFmtId="0" fontId="59" fillId="24" borderId="0" xfId="35" applyFont="1" applyFill="1" applyBorder="1" applyAlignment="1" applyProtection="1"/>
    <xf numFmtId="0" fontId="7" fillId="24" borderId="0" xfId="0" applyFont="1" applyFill="1" applyAlignment="1">
      <alignment wrapText="1"/>
    </xf>
    <xf numFmtId="0" fontId="7" fillId="0" borderId="0" xfId="0" quotePrefix="1" applyFont="1"/>
    <xf numFmtId="0" fontId="7" fillId="24" borderId="0" xfId="0" applyFont="1" applyFill="1" applyAlignment="1">
      <alignment vertical="center" wrapText="1"/>
    </xf>
    <xf numFmtId="0" fontId="7" fillId="24" borderId="0" xfId="0" applyFont="1" applyFill="1" applyAlignment="1">
      <alignment horizontal="center" vertical="center"/>
    </xf>
    <xf numFmtId="0" fontId="11" fillId="24" borderId="0" xfId="0" applyFont="1" applyFill="1" applyAlignment="1">
      <alignment horizontal="left" vertical="center" wrapText="1"/>
    </xf>
    <xf numFmtId="0" fontId="55" fillId="24" borderId="0" xfId="0" applyFont="1" applyFill="1" applyAlignment="1">
      <alignment wrapText="1"/>
    </xf>
    <xf numFmtId="0" fontId="11" fillId="24" borderId="23" xfId="0" applyFont="1" applyFill="1" applyBorder="1" applyAlignment="1">
      <alignment wrapText="1"/>
    </xf>
    <xf numFmtId="0" fontId="11" fillId="24" borderId="23" xfId="0" applyFont="1" applyFill="1" applyBorder="1" applyAlignment="1">
      <alignment horizontal="left" vertical="center" wrapText="1"/>
    </xf>
    <xf numFmtId="0" fontId="7" fillId="24" borderId="0" xfId="0" applyFont="1" applyFill="1" applyAlignment="1">
      <alignment horizontal="left" vertical="center"/>
    </xf>
    <xf numFmtId="0" fontId="55" fillId="24" borderId="0" xfId="0" applyFont="1" applyFill="1" applyAlignment="1">
      <alignment horizontal="left" vertical="center"/>
    </xf>
    <xf numFmtId="0" fontId="60" fillId="24" borderId="0" xfId="0" applyFont="1" applyFill="1" applyAlignment="1">
      <alignment wrapText="1"/>
    </xf>
    <xf numFmtId="0" fontId="61" fillId="24" borderId="0" xfId="0" applyFont="1" applyFill="1" applyAlignment="1">
      <alignment wrapText="1"/>
    </xf>
    <xf numFmtId="0" fontId="9" fillId="24" borderId="0" xfId="0" applyFont="1" applyFill="1" applyAlignment="1">
      <alignment vertical="center" wrapText="1"/>
    </xf>
    <xf numFmtId="0" fontId="63" fillId="0" borderId="0" xfId="0" applyFont="1" applyAlignment="1">
      <alignment horizontal="center"/>
    </xf>
    <xf numFmtId="0" fontId="63" fillId="24" borderId="0" xfId="0" applyFont="1" applyFill="1" applyAlignment="1">
      <alignment horizontal="center"/>
    </xf>
    <xf numFmtId="0" fontId="64" fillId="24" borderId="0" xfId="0" applyFont="1" applyFill="1"/>
    <xf numFmtId="0" fontId="9" fillId="24" borderId="0" xfId="43" applyFont="1" applyFill="1" applyBorder="1" applyAlignment="1" applyProtection="1">
      <alignment horizontal="right"/>
      <protection hidden="1"/>
    </xf>
    <xf numFmtId="3" fontId="1" fillId="24" borderId="0" xfId="0" applyNumberFormat="1" applyFont="1" applyFill="1" applyBorder="1" applyAlignment="1" applyProtection="1">
      <alignment horizontal="center"/>
      <protection hidden="1"/>
    </xf>
    <xf numFmtId="3" fontId="3" fillId="24" borderId="0" xfId="0" applyNumberFormat="1" applyFont="1" applyFill="1" applyBorder="1" applyAlignment="1" applyProtection="1">
      <alignment horizontal="center"/>
      <protection hidden="1"/>
    </xf>
    <xf numFmtId="0" fontId="1" fillId="24" borderId="12" xfId="0" applyFont="1" applyFill="1" applyBorder="1" applyAlignment="1" applyProtection="1">
      <alignment wrapText="1"/>
      <protection hidden="1"/>
    </xf>
    <xf numFmtId="164" fontId="3" fillId="24" borderId="71" xfId="0" applyNumberFormat="1" applyFont="1" applyFill="1" applyBorder="1" applyAlignment="1" applyProtection="1">
      <alignment horizontal="center" vertical="center" wrapText="1"/>
      <protection hidden="1"/>
    </xf>
    <xf numFmtId="0" fontId="3" fillId="24" borderId="57" xfId="0" applyFont="1" applyFill="1" applyBorder="1" applyAlignment="1" applyProtection="1">
      <alignment horizontal="center" vertical="center"/>
      <protection hidden="1"/>
    </xf>
    <xf numFmtId="164" fontId="3" fillId="24" borderId="72" xfId="0" applyNumberFormat="1" applyFont="1" applyFill="1" applyBorder="1" applyAlignment="1" applyProtection="1">
      <alignment horizontal="center" vertical="center" wrapText="1"/>
      <protection hidden="1"/>
    </xf>
    <xf numFmtId="0" fontId="3" fillId="25" borderId="12" xfId="0" applyFont="1" applyFill="1" applyBorder="1" applyAlignment="1" applyProtection="1">
      <alignment wrapText="1"/>
      <protection hidden="1"/>
    </xf>
    <xf numFmtId="164" fontId="1" fillId="25" borderId="10" xfId="0" applyNumberFormat="1" applyFont="1" applyFill="1" applyBorder="1" applyAlignment="1" applyProtection="1">
      <alignment horizontal="center"/>
      <protection hidden="1"/>
    </xf>
    <xf numFmtId="3" fontId="1" fillId="25" borderId="0" xfId="0" applyNumberFormat="1" applyFont="1" applyFill="1" applyBorder="1" applyAlignment="1" applyProtection="1">
      <alignment horizontal="center"/>
      <protection hidden="1"/>
    </xf>
    <xf numFmtId="164" fontId="1" fillId="25" borderId="14" xfId="0" applyNumberFormat="1" applyFont="1" applyFill="1" applyBorder="1" applyAlignment="1" applyProtection="1">
      <alignment horizontal="center"/>
      <protection hidden="1"/>
    </xf>
    <xf numFmtId="0" fontId="2" fillId="24" borderId="12" xfId="0" applyFont="1" applyFill="1" applyBorder="1" applyAlignment="1" applyProtection="1">
      <alignment wrapText="1"/>
      <protection hidden="1"/>
    </xf>
    <xf numFmtId="164" fontId="1" fillId="24" borderId="10" xfId="0" applyNumberFormat="1" applyFont="1" applyFill="1" applyBorder="1" applyAlignment="1" applyProtection="1">
      <alignment horizontal="center"/>
      <protection hidden="1"/>
    </xf>
    <xf numFmtId="164" fontId="1" fillId="24" borderId="14" xfId="0" applyNumberFormat="1" applyFont="1" applyFill="1" applyBorder="1" applyAlignment="1" applyProtection="1">
      <alignment horizontal="center"/>
      <protection hidden="1"/>
    </xf>
    <xf numFmtId="0" fontId="3" fillId="24" borderId="12" xfId="0" applyFont="1" applyFill="1" applyBorder="1" applyAlignment="1" applyProtection="1">
      <alignment wrapText="1"/>
      <protection hidden="1"/>
    </xf>
    <xf numFmtId="164" fontId="3" fillId="24" borderId="14" xfId="0" applyNumberFormat="1" applyFont="1" applyFill="1" applyBorder="1" applyAlignment="1" applyProtection="1">
      <alignment horizontal="center"/>
      <protection hidden="1"/>
    </xf>
    <xf numFmtId="9" fontId="1" fillId="24" borderId="0" xfId="0" applyNumberFormat="1" applyFont="1" applyFill="1" applyBorder="1" applyAlignment="1" applyProtection="1">
      <alignment horizontal="center"/>
      <protection hidden="1"/>
    </xf>
    <xf numFmtId="1" fontId="1" fillId="24" borderId="0" xfId="0" applyNumberFormat="1" applyFont="1" applyFill="1" applyBorder="1" applyAlignment="1" applyProtection="1">
      <alignment horizontal="center"/>
      <protection hidden="1"/>
    </xf>
    <xf numFmtId="0" fontId="2" fillId="24" borderId="12" xfId="0" applyFont="1" applyFill="1" applyBorder="1" applyAlignment="1" applyProtection="1">
      <alignment vertical="center" wrapText="1"/>
      <protection hidden="1"/>
    </xf>
    <xf numFmtId="164" fontId="3" fillId="24" borderId="10" xfId="0" applyNumberFormat="1" applyFont="1" applyFill="1" applyBorder="1" applyAlignment="1" applyProtection="1">
      <alignment horizontal="center"/>
      <protection hidden="1"/>
    </xf>
    <xf numFmtId="0" fontId="3" fillId="24" borderId="55" xfId="0" applyFont="1" applyFill="1" applyBorder="1" applyAlignment="1" applyProtection="1">
      <alignment vertical="center" wrapText="1"/>
      <protection hidden="1"/>
    </xf>
    <xf numFmtId="164" fontId="3" fillId="24" borderId="71" xfId="0" applyNumberFormat="1" applyFont="1" applyFill="1" applyBorder="1" applyAlignment="1" applyProtection="1">
      <alignment horizontal="center"/>
      <protection hidden="1"/>
    </xf>
    <xf numFmtId="3" fontId="3" fillId="24" borderId="57" xfId="0" applyNumberFormat="1" applyFont="1" applyFill="1" applyBorder="1" applyAlignment="1" applyProtection="1">
      <alignment horizontal="center"/>
      <protection hidden="1"/>
    </xf>
    <xf numFmtId="164" fontId="3" fillId="24" borderId="72" xfId="0" applyNumberFormat="1" applyFont="1" applyFill="1" applyBorder="1" applyAlignment="1" applyProtection="1">
      <alignment horizontal="center"/>
      <protection hidden="1"/>
    </xf>
    <xf numFmtId="0" fontId="3" fillId="24" borderId="50" xfId="0" applyFont="1" applyFill="1" applyBorder="1" applyAlignment="1" applyProtection="1">
      <alignment vertical="center" wrapText="1"/>
      <protection hidden="1"/>
    </xf>
    <xf numFmtId="164" fontId="1" fillId="24" borderId="73" xfId="0" applyNumberFormat="1" applyFont="1" applyFill="1" applyBorder="1" applyAlignment="1" applyProtection="1">
      <alignment horizontal="center"/>
      <protection hidden="1"/>
    </xf>
    <xf numFmtId="3" fontId="3" fillId="24" borderId="66" xfId="0" applyNumberFormat="1" applyFont="1" applyFill="1" applyBorder="1" applyAlignment="1" applyProtection="1">
      <alignment horizontal="center"/>
      <protection hidden="1"/>
    </xf>
    <xf numFmtId="164" fontId="1" fillId="24" borderId="74" xfId="0" applyNumberFormat="1" applyFont="1" applyFill="1" applyBorder="1" applyAlignment="1" applyProtection="1">
      <alignment horizontal="center"/>
      <protection hidden="1"/>
    </xf>
    <xf numFmtId="0" fontId="3" fillId="24" borderId="12" xfId="0" applyFont="1" applyFill="1" applyBorder="1" applyAlignment="1" applyProtection="1">
      <alignment vertical="center" wrapText="1"/>
      <protection hidden="1"/>
    </xf>
    <xf numFmtId="0" fontId="9" fillId="25" borderId="12" xfId="0" applyFont="1" applyFill="1" applyBorder="1" applyAlignment="1" applyProtection="1">
      <alignment wrapText="1"/>
      <protection hidden="1"/>
    </xf>
    <xf numFmtId="164" fontId="7" fillId="25" borderId="10" xfId="0" applyNumberFormat="1" applyFont="1" applyFill="1" applyBorder="1" applyAlignment="1" applyProtection="1">
      <alignment horizontal="center"/>
      <protection hidden="1"/>
    </xf>
    <xf numFmtId="3" fontId="7" fillId="25" borderId="0" xfId="0" applyNumberFormat="1" applyFont="1" applyFill="1" applyBorder="1" applyAlignment="1" applyProtection="1">
      <alignment horizontal="center"/>
      <protection hidden="1"/>
    </xf>
    <xf numFmtId="164" fontId="7" fillId="25" borderId="14" xfId="0" applyNumberFormat="1" applyFont="1" applyFill="1" applyBorder="1" applyAlignment="1" applyProtection="1">
      <alignment horizontal="center"/>
      <protection hidden="1"/>
    </xf>
    <xf numFmtId="164" fontId="2" fillId="24" borderId="10" xfId="0" applyNumberFormat="1" applyFont="1" applyFill="1" applyBorder="1" applyAlignment="1" applyProtection="1">
      <alignment horizontal="center"/>
      <protection hidden="1"/>
    </xf>
    <xf numFmtId="3" fontId="2" fillId="24" borderId="0" xfId="0" applyNumberFormat="1" applyFont="1" applyFill="1" applyBorder="1" applyAlignment="1" applyProtection="1">
      <alignment horizontal="center"/>
      <protection hidden="1"/>
    </xf>
    <xf numFmtId="164" fontId="2" fillId="24" borderId="14" xfId="0" applyNumberFormat="1" applyFont="1" applyFill="1" applyBorder="1" applyAlignment="1" applyProtection="1">
      <alignment horizontal="center"/>
      <protection hidden="1"/>
    </xf>
    <xf numFmtId="0" fontId="9" fillId="24" borderId="12" xfId="0" applyFont="1" applyFill="1" applyBorder="1" applyAlignment="1" applyProtection="1">
      <alignment wrapText="1"/>
      <protection hidden="1"/>
    </xf>
    <xf numFmtId="0" fontId="1" fillId="24" borderId="0" xfId="0" applyFont="1" applyFill="1" applyBorder="1" applyAlignment="1" applyProtection="1">
      <alignment horizontal="center"/>
      <protection hidden="1"/>
    </xf>
    <xf numFmtId="0" fontId="1" fillId="24" borderId="12" xfId="0" applyFont="1" applyFill="1" applyBorder="1" applyProtection="1">
      <protection hidden="1"/>
    </xf>
    <xf numFmtId="164" fontId="0" fillId="24" borderId="10" xfId="0" applyNumberFormat="1" applyFill="1" applyBorder="1" applyAlignment="1" applyProtection="1">
      <alignment horizontal="center"/>
      <protection hidden="1"/>
    </xf>
    <xf numFmtId="164" fontId="0" fillId="24" borderId="14" xfId="0" applyNumberFormat="1" applyFill="1" applyBorder="1" applyAlignment="1" applyProtection="1">
      <alignment horizontal="center"/>
      <protection hidden="1"/>
    </xf>
    <xf numFmtId="0" fontId="3" fillId="24" borderId="75" xfId="0" applyFont="1" applyFill="1" applyBorder="1" applyAlignment="1" applyProtection="1">
      <alignment vertical="center" wrapText="1"/>
      <protection hidden="1"/>
    </xf>
    <xf numFmtId="164" fontId="1" fillId="24" borderId="76" xfId="0" applyNumberFormat="1" applyFont="1" applyFill="1" applyBorder="1" applyAlignment="1" applyProtection="1">
      <alignment horizontal="center" vertical="center" wrapText="1"/>
      <protection hidden="1"/>
    </xf>
    <xf numFmtId="3" fontId="1" fillId="24" borderId="77" xfId="0" applyNumberFormat="1" applyFont="1" applyFill="1" applyBorder="1" applyAlignment="1" applyProtection="1">
      <alignment horizontal="center" vertical="center" wrapText="1"/>
      <protection hidden="1"/>
    </xf>
    <xf numFmtId="164" fontId="3" fillId="24" borderId="78" xfId="0" applyNumberFormat="1" applyFont="1" applyFill="1" applyBorder="1" applyAlignment="1" applyProtection="1">
      <alignment horizontal="center" vertical="center" wrapText="1"/>
      <protection hidden="1"/>
    </xf>
    <xf numFmtId="164" fontId="1" fillId="24" borderId="10" xfId="0" applyNumberFormat="1" applyFont="1" applyFill="1" applyBorder="1" applyAlignment="1" applyProtection="1">
      <alignment horizontal="center" vertical="center" wrapText="1"/>
      <protection hidden="1"/>
    </xf>
    <xf numFmtId="3" fontId="1" fillId="24" borderId="0" xfId="0" applyNumberFormat="1" applyFont="1" applyFill="1" applyBorder="1" applyAlignment="1" applyProtection="1">
      <alignment horizontal="center" vertical="center" wrapText="1"/>
      <protection hidden="1"/>
    </xf>
    <xf numFmtId="164" fontId="3" fillId="24" borderId="14" xfId="0" applyNumberFormat="1" applyFont="1" applyFill="1" applyBorder="1" applyAlignment="1" applyProtection="1">
      <alignment horizontal="center" vertical="center" wrapText="1"/>
      <protection hidden="1"/>
    </xf>
    <xf numFmtId="0" fontId="0" fillId="24" borderId="12" xfId="0" applyFill="1" applyBorder="1" applyAlignment="1" applyProtection="1">
      <alignment wrapText="1"/>
      <protection hidden="1"/>
    </xf>
    <xf numFmtId="0" fontId="0" fillId="24" borderId="0" xfId="0" applyFill="1" applyBorder="1" applyAlignment="1" applyProtection="1">
      <alignment horizontal="center"/>
      <protection hidden="1"/>
    </xf>
    <xf numFmtId="0" fontId="3" fillId="24" borderId="79" xfId="0" applyFont="1" applyFill="1" applyBorder="1" applyAlignment="1" applyProtection="1">
      <alignment vertical="center" wrapText="1"/>
      <protection hidden="1"/>
    </xf>
    <xf numFmtId="164" fontId="1" fillId="24" borderId="80" xfId="0" applyNumberFormat="1" applyFont="1" applyFill="1" applyBorder="1" applyAlignment="1" applyProtection="1">
      <alignment horizontal="center" vertical="center" wrapText="1"/>
      <protection hidden="1"/>
    </xf>
    <xf numFmtId="3" fontId="1" fillId="24" borderId="60" xfId="0" applyNumberFormat="1" applyFont="1" applyFill="1" applyBorder="1" applyAlignment="1" applyProtection="1">
      <alignment horizontal="center" vertical="center" wrapText="1"/>
      <protection hidden="1"/>
    </xf>
    <xf numFmtId="164" fontId="3" fillId="24" borderId="81" xfId="0" applyNumberFormat="1" applyFont="1" applyFill="1" applyBorder="1" applyAlignment="1" applyProtection="1">
      <alignment horizontal="center" vertical="center" wrapText="1"/>
      <protection hidden="1"/>
    </xf>
    <xf numFmtId="0" fontId="0" fillId="24" borderId="0" xfId="0" applyFill="1" applyAlignment="1" applyProtection="1">
      <alignment wrapText="1"/>
      <protection hidden="1"/>
    </xf>
    <xf numFmtId="164" fontId="0" fillId="24" borderId="82" xfId="0" applyNumberFormat="1" applyFill="1" applyBorder="1" applyAlignment="1" applyProtection="1">
      <alignment horizontal="center"/>
      <protection hidden="1"/>
    </xf>
    <xf numFmtId="0" fontId="0" fillId="24" borderId="33" xfId="0" applyFill="1" applyBorder="1" applyAlignment="1" applyProtection="1">
      <alignment horizontal="center"/>
      <protection hidden="1"/>
    </xf>
    <xf numFmtId="164" fontId="0" fillId="24" borderId="83" xfId="0" applyNumberFormat="1" applyFill="1" applyBorder="1" applyAlignment="1" applyProtection="1">
      <alignment horizontal="center"/>
      <protection hidden="1"/>
    </xf>
    <xf numFmtId="0" fontId="0" fillId="24" borderId="31" xfId="0" applyFill="1" applyBorder="1" applyAlignment="1" applyProtection="1">
      <alignment wrapText="1"/>
      <protection hidden="1"/>
    </xf>
    <xf numFmtId="0" fontId="3" fillId="25" borderId="52" xfId="0" applyFont="1" applyFill="1" applyBorder="1" applyAlignment="1" applyProtection="1">
      <alignment wrapText="1"/>
      <protection hidden="1"/>
    </xf>
    <xf numFmtId="164" fontId="3" fillId="25" borderId="82" xfId="0" applyNumberFormat="1" applyFont="1" applyFill="1" applyBorder="1" applyAlignment="1" applyProtection="1">
      <alignment horizontal="center"/>
      <protection hidden="1"/>
    </xf>
    <xf numFmtId="3" fontId="3" fillId="25" borderId="33" xfId="0" applyNumberFormat="1" applyFont="1" applyFill="1" applyBorder="1" applyAlignment="1" applyProtection="1">
      <alignment horizontal="center"/>
      <protection hidden="1"/>
    </xf>
    <xf numFmtId="164" fontId="3" fillId="25" borderId="83" xfId="0" applyNumberFormat="1" applyFont="1" applyFill="1" applyBorder="1" applyAlignment="1" applyProtection="1">
      <alignment horizontal="center"/>
      <protection hidden="1"/>
    </xf>
    <xf numFmtId="164" fontId="3" fillId="25" borderId="10" xfId="0" applyNumberFormat="1" applyFont="1" applyFill="1" applyBorder="1" applyAlignment="1" applyProtection="1">
      <alignment horizontal="center"/>
      <protection hidden="1"/>
    </xf>
    <xf numFmtId="3" fontId="3" fillId="25" borderId="0" xfId="0" applyNumberFormat="1" applyFont="1" applyFill="1" applyBorder="1" applyAlignment="1" applyProtection="1">
      <alignment horizontal="center"/>
      <protection hidden="1"/>
    </xf>
    <xf numFmtId="164" fontId="3" fillId="25" borderId="14" xfId="0" applyNumberFormat="1" applyFont="1" applyFill="1" applyBorder="1" applyAlignment="1" applyProtection="1">
      <alignment horizontal="center"/>
      <protection hidden="1"/>
    </xf>
    <xf numFmtId="164" fontId="0" fillId="25" borderId="10" xfId="0" applyNumberFormat="1" applyFill="1" applyBorder="1" applyAlignment="1" applyProtection="1">
      <alignment horizontal="center"/>
      <protection hidden="1"/>
    </xf>
    <xf numFmtId="0" fontId="0" fillId="25" borderId="0" xfId="0" applyFill="1" applyBorder="1" applyAlignment="1" applyProtection="1">
      <alignment horizontal="center"/>
      <protection hidden="1"/>
    </xf>
    <xf numFmtId="0" fontId="9" fillId="25" borderId="27" xfId="0" applyFont="1" applyFill="1" applyBorder="1" applyAlignment="1" applyProtection="1">
      <alignment wrapText="1"/>
      <protection hidden="1"/>
    </xf>
    <xf numFmtId="164" fontId="0" fillId="25" borderId="28" xfId="0" applyNumberFormat="1" applyFill="1" applyBorder="1" applyAlignment="1" applyProtection="1">
      <alignment horizontal="center"/>
      <protection hidden="1"/>
    </xf>
    <xf numFmtId="0" fontId="1" fillId="25" borderId="29" xfId="0" applyFont="1" applyFill="1" applyBorder="1" applyAlignment="1" applyProtection="1">
      <alignment horizontal="center"/>
      <protection hidden="1"/>
    </xf>
    <xf numFmtId="164" fontId="3" fillId="25" borderId="84" xfId="0" applyNumberFormat="1" applyFont="1" applyFill="1" applyBorder="1" applyAlignment="1" applyProtection="1">
      <alignment horizontal="center"/>
      <protection hidden="1"/>
    </xf>
    <xf numFmtId="3" fontId="2" fillId="26" borderId="0" xfId="0" applyNumberFormat="1" applyFont="1" applyFill="1" applyBorder="1" applyAlignment="1" applyProtection="1">
      <alignment horizontal="center"/>
      <protection locked="0" hidden="1"/>
    </xf>
    <xf numFmtId="3" fontId="1" fillId="26" borderId="0" xfId="0" applyNumberFormat="1" applyFont="1" applyFill="1" applyBorder="1" applyAlignment="1" applyProtection="1">
      <alignment horizontal="center"/>
      <protection locked="0" hidden="1"/>
    </xf>
    <xf numFmtId="3" fontId="3" fillId="26" borderId="0" xfId="0" applyNumberFormat="1" applyFont="1" applyFill="1" applyBorder="1" applyAlignment="1" applyProtection="1">
      <alignment horizontal="center"/>
      <protection locked="0" hidden="1"/>
    </xf>
    <xf numFmtId="9" fontId="1" fillId="26" borderId="0" xfId="0" applyNumberFormat="1" applyFont="1" applyFill="1" applyBorder="1" applyAlignment="1" applyProtection="1">
      <alignment horizontal="center"/>
      <protection locked="0" hidden="1"/>
    </xf>
    <xf numFmtId="1" fontId="1" fillId="26" borderId="0" xfId="0" applyNumberFormat="1" applyFont="1" applyFill="1" applyBorder="1" applyAlignment="1" applyProtection="1">
      <alignment horizontal="center"/>
      <protection locked="0" hidden="1"/>
    </xf>
    <xf numFmtId="0" fontId="1" fillId="26" borderId="0" xfId="0" applyFont="1" applyFill="1" applyBorder="1" applyAlignment="1" applyProtection="1">
      <alignment horizontal="center"/>
      <protection locked="0" hidden="1"/>
    </xf>
    <xf numFmtId="164" fontId="1" fillId="26" borderId="0" xfId="0" applyNumberFormat="1" applyFont="1" applyFill="1" applyBorder="1" applyAlignment="1" applyProtection="1">
      <alignment horizontal="center"/>
      <protection locked="0" hidden="1"/>
    </xf>
    <xf numFmtId="164" fontId="2" fillId="26" borderId="0" xfId="0" applyNumberFormat="1" applyFont="1" applyFill="1" applyBorder="1" applyAlignment="1" applyProtection="1">
      <alignment horizontal="center"/>
      <protection locked="0" hidden="1"/>
    </xf>
    <xf numFmtId="164" fontId="2" fillId="24" borderId="11" xfId="0" applyNumberFormat="1" applyFont="1" applyFill="1" applyBorder="1" applyAlignment="1" applyProtection="1">
      <alignment horizontal="center"/>
      <protection hidden="1"/>
    </xf>
    <xf numFmtId="164" fontId="3" fillId="24" borderId="85" xfId="0" applyNumberFormat="1" applyFont="1" applyFill="1" applyBorder="1" applyAlignment="1" applyProtection="1">
      <alignment horizontal="center" vertical="center" wrapText="1"/>
      <protection hidden="1"/>
    </xf>
    <xf numFmtId="164" fontId="1" fillId="24" borderId="0" xfId="0" applyNumberFormat="1" applyFont="1" applyFill="1" applyBorder="1" applyAlignment="1" applyProtection="1">
      <alignment horizontal="center"/>
      <protection hidden="1"/>
    </xf>
    <xf numFmtId="164" fontId="1" fillId="24" borderId="11" xfId="0" applyNumberFormat="1" applyFont="1" applyFill="1" applyBorder="1" applyAlignment="1" applyProtection="1">
      <alignment horizontal="center"/>
      <protection hidden="1"/>
    </xf>
    <xf numFmtId="0" fontId="2" fillId="26" borderId="0" xfId="0" applyFont="1" applyFill="1" applyBorder="1" applyAlignment="1" applyProtection="1">
      <alignment horizontal="center"/>
      <protection locked="0" hidden="1"/>
    </xf>
    <xf numFmtId="164" fontId="0" fillId="24" borderId="11" xfId="0" applyNumberFormat="1" applyFill="1" applyBorder="1" applyAlignment="1" applyProtection="1">
      <alignment horizontal="center"/>
      <protection hidden="1"/>
    </xf>
    <xf numFmtId="164" fontId="3" fillId="24" borderId="11" xfId="0" applyNumberFormat="1" applyFont="1" applyFill="1" applyBorder="1" applyAlignment="1" applyProtection="1">
      <alignment horizontal="center"/>
      <protection hidden="1"/>
    </xf>
    <xf numFmtId="164" fontId="3" fillId="24" borderId="0" xfId="0" applyNumberFormat="1" applyFont="1" applyFill="1" applyBorder="1" applyAlignment="1" applyProtection="1">
      <alignment horizontal="center"/>
      <protection hidden="1"/>
    </xf>
    <xf numFmtId="164" fontId="0" fillId="24" borderId="0" xfId="0" applyNumberFormat="1" applyFill="1" applyBorder="1" applyAlignment="1" applyProtection="1">
      <alignment horizontal="center"/>
      <protection hidden="1"/>
    </xf>
    <xf numFmtId="164" fontId="2" fillId="24" borderId="0" xfId="0" applyNumberFormat="1" applyFont="1" applyFill="1" applyBorder="1" applyAlignment="1" applyProtection="1">
      <alignment horizontal="center"/>
      <protection hidden="1"/>
    </xf>
    <xf numFmtId="164" fontId="1" fillId="24" borderId="60" xfId="0" applyNumberFormat="1" applyFont="1" applyFill="1" applyBorder="1" applyAlignment="1" applyProtection="1">
      <alignment horizontal="center" vertical="center" wrapText="1"/>
      <protection hidden="1"/>
    </xf>
    <xf numFmtId="164" fontId="0" fillId="24" borderId="86" xfId="0" applyNumberFormat="1" applyFill="1" applyBorder="1" applyAlignment="1" applyProtection="1">
      <alignment horizontal="center"/>
      <protection hidden="1"/>
    </xf>
    <xf numFmtId="164" fontId="0" fillId="24" borderId="10" xfId="0" applyNumberFormat="1" applyFill="1" applyBorder="1" applyAlignment="1" applyProtection="1">
      <alignment horizontal="center"/>
    </xf>
    <xf numFmtId="164" fontId="1" fillId="24" borderId="10" xfId="0" applyNumberFormat="1" applyFont="1" applyFill="1" applyBorder="1" applyAlignment="1" applyProtection="1">
      <alignment horizontal="center"/>
    </xf>
    <xf numFmtId="164" fontId="3" fillId="25" borderId="86" xfId="0" applyNumberFormat="1" applyFont="1" applyFill="1" applyBorder="1" applyAlignment="1" applyProtection="1">
      <alignment horizontal="center"/>
      <protection hidden="1"/>
    </xf>
    <xf numFmtId="164" fontId="3" fillId="25" borderId="11" xfId="0" applyNumberFormat="1" applyFont="1" applyFill="1" applyBorder="1" applyAlignment="1" applyProtection="1">
      <alignment horizontal="center"/>
      <protection hidden="1"/>
    </xf>
    <xf numFmtId="164" fontId="1" fillId="25" borderId="11" xfId="0" applyNumberFormat="1" applyFont="1" applyFill="1" applyBorder="1" applyAlignment="1" applyProtection="1">
      <alignment horizontal="center"/>
      <protection hidden="1"/>
    </xf>
    <xf numFmtId="164" fontId="3" fillId="25" borderId="41" xfId="0" applyNumberFormat="1" applyFont="1" applyFill="1" applyBorder="1" applyAlignment="1" applyProtection="1">
      <alignment horizontal="center"/>
      <protection hidden="1"/>
    </xf>
    <xf numFmtId="164" fontId="1" fillId="26" borderId="10" xfId="0" applyNumberFormat="1" applyFont="1" applyFill="1" applyBorder="1" applyAlignment="1" applyProtection="1">
      <alignment horizontal="center"/>
      <protection locked="0" hidden="1"/>
    </xf>
    <xf numFmtId="164" fontId="2" fillId="26" borderId="10" xfId="0" applyNumberFormat="1" applyFont="1" applyFill="1" applyBorder="1" applyAlignment="1" applyProtection="1">
      <alignment horizontal="center"/>
      <protection locked="0" hidden="1"/>
    </xf>
    <xf numFmtId="164" fontId="3" fillId="25" borderId="33" xfId="0" applyNumberFormat="1" applyFont="1" applyFill="1" applyBorder="1" applyAlignment="1" applyProtection="1">
      <alignment horizontal="center"/>
      <protection hidden="1"/>
    </xf>
    <xf numFmtId="164" fontId="3" fillId="25" borderId="0" xfId="0" applyNumberFormat="1" applyFont="1" applyFill="1" applyBorder="1" applyAlignment="1" applyProtection="1">
      <alignment horizontal="center"/>
      <protection hidden="1"/>
    </xf>
    <xf numFmtId="164" fontId="1" fillId="25" borderId="0" xfId="0" applyNumberFormat="1" applyFont="1" applyFill="1" applyBorder="1" applyAlignment="1" applyProtection="1">
      <alignment horizontal="center"/>
      <protection hidden="1"/>
    </xf>
    <xf numFmtId="164" fontId="1" fillId="25" borderId="29" xfId="0" applyNumberFormat="1" applyFont="1" applyFill="1" applyBorder="1" applyAlignment="1" applyProtection="1">
      <alignment horizontal="center"/>
      <protection hidden="1"/>
    </xf>
    <xf numFmtId="0" fontId="10" fillId="24" borderId="0" xfId="0" applyFont="1" applyFill="1" applyBorder="1" applyAlignment="1" applyProtection="1">
      <alignment horizontal="left" vertical="center" wrapText="1"/>
      <protection hidden="1"/>
    </xf>
    <xf numFmtId="164" fontId="0" fillId="24" borderId="0" xfId="0" applyNumberFormat="1" applyFill="1" applyAlignment="1" applyProtection="1">
      <alignment horizontal="center"/>
      <protection hidden="1"/>
    </xf>
    <xf numFmtId="0" fontId="0" fillId="24" borderId="0" xfId="0" applyFill="1" applyProtection="1">
      <protection hidden="1"/>
    </xf>
    <xf numFmtId="0" fontId="9" fillId="24" borderId="0" xfId="0" applyFont="1" applyFill="1" applyBorder="1" applyAlignment="1" applyProtection="1">
      <protection hidden="1"/>
    </xf>
    <xf numFmtId="0" fontId="0" fillId="24" borderId="0" xfId="0" applyFill="1" applyAlignment="1" applyProtection="1">
      <alignment horizontal="center"/>
      <protection hidden="1"/>
    </xf>
    <xf numFmtId="0" fontId="9" fillId="24" borderId="0" xfId="0" applyFont="1" applyFill="1" applyBorder="1" applyAlignment="1" applyProtection="1">
      <alignment horizontal="left"/>
      <protection hidden="1"/>
    </xf>
    <xf numFmtId="0" fontId="9" fillId="24" borderId="0" xfId="0" applyFont="1" applyFill="1" applyBorder="1" applyAlignment="1" applyProtection="1">
      <alignment horizontal="left" wrapText="1"/>
      <protection hidden="1"/>
    </xf>
    <xf numFmtId="0" fontId="3" fillId="24" borderId="0" xfId="0" applyFont="1" applyFill="1" applyBorder="1" applyAlignment="1" applyProtection="1">
      <alignment horizontal="left"/>
      <protection hidden="1"/>
    </xf>
    <xf numFmtId="0" fontId="3" fillId="24" borderId="0" xfId="0" applyFont="1" applyFill="1" applyBorder="1" applyAlignment="1" applyProtection="1">
      <alignment horizontal="left" wrapText="1"/>
      <protection hidden="1"/>
    </xf>
    <xf numFmtId="164" fontId="54" fillId="24" borderId="0" xfId="0" applyNumberFormat="1" applyFont="1" applyFill="1" applyBorder="1" applyAlignment="1" applyProtection="1">
      <alignment horizontal="left" wrapText="1"/>
      <protection hidden="1"/>
    </xf>
    <xf numFmtId="164" fontId="3" fillId="24" borderId="0" xfId="0" applyNumberFormat="1" applyFont="1" applyFill="1" applyBorder="1" applyAlignment="1" applyProtection="1">
      <alignment horizontal="left" wrapText="1"/>
      <protection hidden="1"/>
    </xf>
    <xf numFmtId="0" fontId="9" fillId="24" borderId="0" xfId="0" applyFont="1" applyFill="1" applyBorder="1" applyAlignment="1" applyProtection="1">
      <alignment wrapText="1"/>
      <protection hidden="1"/>
    </xf>
    <xf numFmtId="164" fontId="53" fillId="24" borderId="0" xfId="0" applyNumberFormat="1" applyFont="1" applyFill="1" applyAlignment="1" applyProtection="1">
      <alignment horizontal="center"/>
      <protection hidden="1"/>
    </xf>
    <xf numFmtId="0" fontId="9" fillId="24" borderId="52" xfId="0" applyFont="1" applyFill="1" applyBorder="1" applyAlignment="1" applyProtection="1">
      <alignment wrapText="1"/>
      <protection hidden="1"/>
    </xf>
    <xf numFmtId="164" fontId="9" fillId="24" borderId="33" xfId="0" applyNumberFormat="1" applyFont="1" applyFill="1" applyBorder="1" applyAlignment="1" applyProtection="1">
      <alignment horizontal="left"/>
      <protection hidden="1"/>
    </xf>
    <xf numFmtId="164" fontId="0" fillId="24" borderId="28" xfId="0" applyNumberFormat="1" applyFill="1" applyBorder="1" applyAlignment="1" applyProtection="1">
      <alignment horizontal="center"/>
      <protection hidden="1"/>
    </xf>
    <xf numFmtId="0" fontId="0" fillId="24" borderId="29" xfId="0" applyFill="1" applyBorder="1" applyAlignment="1" applyProtection="1">
      <alignment horizontal="center"/>
      <protection hidden="1"/>
    </xf>
    <xf numFmtId="164" fontId="0" fillId="24" borderId="84" xfId="0" applyNumberFormat="1" applyFill="1" applyBorder="1" applyAlignment="1" applyProtection="1">
      <alignment horizontal="center"/>
      <protection hidden="1"/>
    </xf>
    <xf numFmtId="164" fontId="0" fillId="24" borderId="29" xfId="0" applyNumberFormat="1" applyFill="1" applyBorder="1" applyAlignment="1" applyProtection="1">
      <alignment horizontal="center"/>
      <protection hidden="1"/>
    </xf>
    <xf numFmtId="164" fontId="0" fillId="24" borderId="41" xfId="0" applyNumberFormat="1" applyFill="1" applyBorder="1" applyAlignment="1" applyProtection="1">
      <alignment horizontal="center"/>
      <protection hidden="1"/>
    </xf>
    <xf numFmtId="0" fontId="3" fillId="0" borderId="19" xfId="0" applyFont="1" applyBorder="1" applyAlignment="1" applyProtection="1">
      <alignment horizontal="left" vertical="center"/>
      <protection hidden="1"/>
    </xf>
    <xf numFmtId="0" fontId="2" fillId="0" borderId="34" xfId="0" applyFont="1" applyBorder="1" applyAlignment="1" applyProtection="1">
      <alignment horizontal="center" vertical="center" wrapText="1"/>
      <protection hidden="1"/>
    </xf>
    <xf numFmtId="164" fontId="0" fillId="24" borderId="87" xfId="0" applyNumberFormat="1" applyFill="1" applyBorder="1" applyAlignment="1" applyProtection="1">
      <alignment horizontal="center"/>
      <protection hidden="1"/>
    </xf>
    <xf numFmtId="0" fontId="2" fillId="24" borderId="88" xfId="0" applyFont="1" applyFill="1" applyBorder="1" applyAlignment="1" applyProtection="1">
      <alignment vertical="center" wrapText="1"/>
      <protection hidden="1"/>
    </xf>
    <xf numFmtId="164" fontId="2" fillId="24" borderId="89" xfId="0" applyNumberFormat="1" applyFont="1" applyFill="1" applyBorder="1" applyAlignment="1" applyProtection="1">
      <alignment vertical="center" wrapText="1"/>
      <protection hidden="1"/>
    </xf>
    <xf numFmtId="0" fontId="0" fillId="24" borderId="0" xfId="0" applyFill="1" applyBorder="1" applyProtection="1">
      <protection hidden="1"/>
    </xf>
    <xf numFmtId="164" fontId="3" fillId="24" borderId="57" xfId="0" applyNumberFormat="1" applyFont="1" applyFill="1" applyBorder="1" applyAlignment="1" applyProtection="1">
      <alignment horizontal="center" vertical="center" wrapText="1"/>
      <protection hidden="1"/>
    </xf>
    <xf numFmtId="164" fontId="3" fillId="24" borderId="61" xfId="0" applyNumberFormat="1" applyFont="1" applyFill="1" applyBorder="1" applyAlignment="1" applyProtection="1">
      <alignment horizontal="center" vertical="center" wrapText="1"/>
      <protection hidden="1"/>
    </xf>
    <xf numFmtId="164" fontId="0" fillId="25" borderId="33" xfId="0" applyNumberFormat="1" applyFill="1" applyBorder="1" applyAlignment="1" applyProtection="1">
      <alignment horizontal="center"/>
      <protection hidden="1"/>
    </xf>
    <xf numFmtId="3" fontId="1" fillId="25" borderId="33" xfId="0" applyNumberFormat="1" applyFont="1" applyFill="1" applyBorder="1" applyAlignment="1" applyProtection="1">
      <alignment horizontal="center"/>
      <protection hidden="1"/>
    </xf>
    <xf numFmtId="164" fontId="0" fillId="25" borderId="86" xfId="0" applyNumberFormat="1" applyFill="1" applyBorder="1" applyAlignment="1" applyProtection="1">
      <alignment horizontal="center"/>
      <protection hidden="1"/>
    </xf>
    <xf numFmtId="0" fontId="9" fillId="24" borderId="33" xfId="0" applyFont="1" applyFill="1" applyBorder="1" applyAlignment="1" applyProtection="1">
      <alignment horizontal="left"/>
      <protection hidden="1"/>
    </xf>
    <xf numFmtId="0" fontId="0" fillId="24" borderId="86" xfId="0" applyFill="1" applyBorder="1" applyAlignment="1" applyProtection="1">
      <alignment horizontal="center"/>
      <protection hidden="1"/>
    </xf>
    <xf numFmtId="0" fontId="0" fillId="24" borderId="38" xfId="0" applyFill="1" applyBorder="1" applyAlignment="1" applyProtection="1">
      <alignment horizontal="center"/>
      <protection hidden="1"/>
    </xf>
    <xf numFmtId="0" fontId="0" fillId="24" borderId="40" xfId="0" applyFill="1" applyBorder="1" applyAlignment="1" applyProtection="1">
      <alignment horizontal="center"/>
      <protection hidden="1"/>
    </xf>
    <xf numFmtId="0" fontId="0" fillId="24" borderId="41" xfId="0" applyFill="1" applyBorder="1" applyAlignment="1" applyProtection="1">
      <alignment horizontal="center"/>
      <protection hidden="1"/>
    </xf>
    <xf numFmtId="0" fontId="0" fillId="24" borderId="90" xfId="0" applyFill="1" applyBorder="1" applyAlignment="1" applyProtection="1">
      <alignment horizontal="center"/>
      <protection hidden="1"/>
    </xf>
    <xf numFmtId="0" fontId="2" fillId="24" borderId="91" xfId="0" applyFont="1" applyFill="1" applyBorder="1" applyAlignment="1" applyProtection="1">
      <alignment vertical="center" wrapText="1"/>
      <protection hidden="1"/>
    </xf>
    <xf numFmtId="0" fontId="3" fillId="24" borderId="92" xfId="0" applyFont="1" applyFill="1" applyBorder="1" applyAlignment="1" applyProtection="1">
      <alignment horizontal="center" vertical="center"/>
      <protection hidden="1"/>
    </xf>
    <xf numFmtId="0" fontId="3" fillId="24" borderId="93" xfId="0" applyFont="1" applyFill="1" applyBorder="1" applyAlignment="1" applyProtection="1">
      <alignment horizontal="center" vertical="center"/>
      <protection hidden="1"/>
    </xf>
    <xf numFmtId="0" fontId="3" fillId="24" borderId="0" xfId="0" applyFont="1" applyFill="1" applyBorder="1" applyAlignment="1" applyProtection="1">
      <alignment horizontal="center" vertical="center"/>
      <protection hidden="1"/>
    </xf>
    <xf numFmtId="0" fontId="3" fillId="24" borderId="11" xfId="0" applyFont="1" applyFill="1" applyBorder="1" applyAlignment="1" applyProtection="1">
      <alignment horizontal="center" vertical="center"/>
      <protection hidden="1"/>
    </xf>
    <xf numFmtId="3" fontId="1" fillId="24" borderId="13" xfId="0" applyNumberFormat="1" applyFont="1" applyFill="1" applyBorder="1" applyAlignment="1" applyProtection="1">
      <alignment horizontal="center"/>
      <protection hidden="1"/>
    </xf>
    <xf numFmtId="3" fontId="1" fillId="24" borderId="39" xfId="0" applyNumberFormat="1" applyFont="1" applyFill="1" applyBorder="1" applyAlignment="1" applyProtection="1">
      <alignment horizontal="center"/>
      <protection hidden="1"/>
    </xf>
    <xf numFmtId="0" fontId="0" fillId="0" borderId="0" xfId="0" applyBorder="1" applyAlignment="1" applyProtection="1">
      <alignment horizontal="center"/>
      <protection hidden="1"/>
    </xf>
    <xf numFmtId="0" fontId="0" fillId="24" borderId="11" xfId="0" applyFill="1" applyBorder="1" applyAlignment="1" applyProtection="1">
      <alignment horizontal="center"/>
      <protection hidden="1"/>
    </xf>
    <xf numFmtId="3" fontId="1" fillId="24" borderId="13" xfId="0" applyNumberFormat="1" applyFont="1" applyFill="1" applyBorder="1" applyAlignment="1" applyProtection="1">
      <alignment horizontal="center" vertical="center"/>
      <protection hidden="1"/>
    </xf>
    <xf numFmtId="3" fontId="1" fillId="24" borderId="0" xfId="0" applyNumberFormat="1" applyFont="1" applyFill="1" applyBorder="1" applyAlignment="1" applyProtection="1">
      <alignment horizontal="center" vertical="center"/>
      <protection hidden="1"/>
    </xf>
    <xf numFmtId="164" fontId="1" fillId="24" borderId="39" xfId="0" applyNumberFormat="1" applyFont="1" applyFill="1" applyBorder="1" applyAlignment="1" applyProtection="1">
      <alignment horizontal="center" vertical="center"/>
      <protection hidden="1"/>
    </xf>
    <xf numFmtId="164" fontId="1" fillId="24" borderId="11" xfId="0" applyNumberFormat="1" applyFont="1" applyFill="1" applyBorder="1" applyAlignment="1" applyProtection="1">
      <alignment horizontal="center" vertical="center"/>
      <protection hidden="1"/>
    </xf>
    <xf numFmtId="0" fontId="3" fillId="27" borderId="12" xfId="0" applyFont="1" applyFill="1" applyBorder="1" applyAlignment="1" applyProtection="1">
      <alignment wrapText="1"/>
      <protection hidden="1"/>
    </xf>
    <xf numFmtId="0" fontId="1" fillId="27" borderId="13" xfId="0" applyFont="1" applyFill="1" applyBorder="1" applyAlignment="1" applyProtection="1">
      <alignment horizontal="center"/>
      <protection hidden="1"/>
    </xf>
    <xf numFmtId="0" fontId="1" fillId="27" borderId="0" xfId="0" applyFont="1" applyFill="1" applyBorder="1" applyAlignment="1" applyProtection="1">
      <alignment horizontal="center"/>
      <protection hidden="1"/>
    </xf>
    <xf numFmtId="164" fontId="1" fillId="27" borderId="39" xfId="0" applyNumberFormat="1" applyFont="1" applyFill="1" applyBorder="1" applyAlignment="1" applyProtection="1">
      <alignment horizontal="center"/>
      <protection hidden="1"/>
    </xf>
    <xf numFmtId="164" fontId="1" fillId="27" borderId="11" xfId="0" applyNumberFormat="1" applyFont="1" applyFill="1" applyBorder="1" applyAlignment="1" applyProtection="1">
      <alignment horizontal="center"/>
      <protection hidden="1"/>
    </xf>
    <xf numFmtId="0" fontId="0" fillId="0" borderId="0" xfId="0" applyProtection="1">
      <protection hidden="1"/>
    </xf>
    <xf numFmtId="0" fontId="0" fillId="0" borderId="12" xfId="0" applyBorder="1" applyAlignment="1" applyProtection="1">
      <alignment wrapText="1"/>
      <protection hidden="1"/>
    </xf>
    <xf numFmtId="0" fontId="0" fillId="24" borderId="13" xfId="0" applyFill="1" applyBorder="1" applyAlignment="1" applyProtection="1">
      <alignment horizontal="center"/>
      <protection hidden="1"/>
    </xf>
    <xf numFmtId="164" fontId="0" fillId="24" borderId="39" xfId="0" applyNumberFormat="1" applyFill="1" applyBorder="1" applyAlignment="1" applyProtection="1">
      <alignment horizontal="center"/>
      <protection hidden="1"/>
    </xf>
    <xf numFmtId="0" fontId="1" fillId="24" borderId="13" xfId="0" applyFont="1" applyFill="1" applyBorder="1" applyAlignment="1" applyProtection="1">
      <alignment horizontal="center"/>
      <protection hidden="1"/>
    </xf>
    <xf numFmtId="164" fontId="1" fillId="24" borderId="39" xfId="0" applyNumberFormat="1" applyFont="1" applyFill="1" applyBorder="1" applyAlignment="1" applyProtection="1">
      <alignment horizontal="center"/>
      <protection hidden="1"/>
    </xf>
    <xf numFmtId="0" fontId="3" fillId="25" borderId="13" xfId="0" applyFont="1" applyFill="1" applyBorder="1" applyAlignment="1" applyProtection="1">
      <alignment horizontal="center"/>
      <protection hidden="1"/>
    </xf>
    <xf numFmtId="0" fontId="3" fillId="25" borderId="0" xfId="0" applyFont="1" applyFill="1" applyBorder="1" applyAlignment="1" applyProtection="1">
      <alignment horizontal="center"/>
      <protection hidden="1"/>
    </xf>
    <xf numFmtId="164" fontId="3" fillId="25" borderId="39" xfId="0" applyNumberFormat="1" applyFont="1" applyFill="1" applyBorder="1" applyAlignment="1" applyProtection="1">
      <alignment horizontal="center"/>
      <protection hidden="1"/>
    </xf>
    <xf numFmtId="6" fontId="1" fillId="24" borderId="13" xfId="0" applyNumberFormat="1" applyFont="1" applyFill="1" applyBorder="1" applyAlignment="1" applyProtection="1">
      <alignment horizontal="center"/>
      <protection hidden="1"/>
    </xf>
    <xf numFmtId="6" fontId="1" fillId="24" borderId="0" xfId="0" applyNumberFormat="1" applyFont="1" applyFill="1" applyBorder="1" applyAlignment="1" applyProtection="1">
      <alignment horizontal="center"/>
      <protection hidden="1"/>
    </xf>
    <xf numFmtId="6" fontId="1" fillId="0" borderId="11" xfId="0" applyNumberFormat="1" applyFont="1" applyBorder="1" applyAlignment="1" applyProtection="1">
      <alignment horizontal="center"/>
      <protection hidden="1"/>
    </xf>
    <xf numFmtId="164" fontId="1" fillId="24" borderId="13" xfId="0" applyNumberFormat="1" applyFont="1" applyFill="1" applyBorder="1" applyAlignment="1" applyProtection="1">
      <alignment horizontal="center"/>
      <protection hidden="1"/>
    </xf>
    <xf numFmtId="164" fontId="1" fillId="24" borderId="13" xfId="0" applyNumberFormat="1" applyFont="1" applyFill="1" applyBorder="1" applyAlignment="1" applyProtection="1">
      <alignment horizontal="center" vertical="center"/>
      <protection hidden="1"/>
    </xf>
    <xf numFmtId="0" fontId="1" fillId="24" borderId="0" xfId="0" applyFont="1" applyFill="1" applyBorder="1" applyAlignment="1" applyProtection="1">
      <alignment horizontal="center" vertical="center"/>
      <protection hidden="1"/>
    </xf>
    <xf numFmtId="0" fontId="1" fillId="0" borderId="12" xfId="0" applyFont="1" applyBorder="1" applyAlignment="1" applyProtection="1">
      <alignment wrapText="1"/>
      <protection hidden="1"/>
    </xf>
    <xf numFmtId="0" fontId="3" fillId="24" borderId="94" xfId="0" applyFont="1" applyFill="1" applyBorder="1" applyAlignment="1" applyProtection="1">
      <alignment wrapText="1"/>
      <protection hidden="1"/>
    </xf>
    <xf numFmtId="0" fontId="1" fillId="24" borderId="95" xfId="0" applyFont="1" applyFill="1" applyBorder="1" applyAlignment="1" applyProtection="1">
      <alignment horizontal="center"/>
      <protection hidden="1"/>
    </xf>
    <xf numFmtId="0" fontId="1" fillId="24" borderId="77" xfId="0" applyFont="1" applyFill="1" applyBorder="1" applyAlignment="1" applyProtection="1">
      <alignment horizontal="center"/>
      <protection hidden="1"/>
    </xf>
    <xf numFmtId="164" fontId="3" fillId="24" borderId="96" xfId="0" applyNumberFormat="1" applyFont="1" applyFill="1" applyBorder="1" applyAlignment="1" applyProtection="1">
      <alignment horizontal="center"/>
      <protection hidden="1"/>
    </xf>
    <xf numFmtId="164" fontId="3" fillId="24" borderId="97" xfId="0" applyNumberFormat="1" applyFont="1" applyFill="1" applyBorder="1" applyAlignment="1" applyProtection="1">
      <alignment horizontal="center"/>
      <protection hidden="1"/>
    </xf>
    <xf numFmtId="0" fontId="3" fillId="24" borderId="13" xfId="0" applyFont="1" applyFill="1" applyBorder="1" applyAlignment="1" applyProtection="1">
      <alignment horizontal="center"/>
      <protection hidden="1"/>
    </xf>
    <xf numFmtId="0" fontId="0" fillId="0" borderId="13" xfId="0" applyBorder="1" applyAlignment="1" applyProtection="1">
      <alignment horizontal="center"/>
      <protection hidden="1"/>
    </xf>
    <xf numFmtId="8" fontId="1" fillId="24" borderId="13" xfId="0" applyNumberFormat="1" applyFont="1" applyFill="1" applyBorder="1" applyAlignment="1" applyProtection="1">
      <alignment horizontal="center"/>
      <protection hidden="1"/>
    </xf>
    <xf numFmtId="8" fontId="1" fillId="24" borderId="0" xfId="0" applyNumberFormat="1" applyFont="1" applyFill="1" applyBorder="1" applyAlignment="1" applyProtection="1">
      <alignment horizontal="center"/>
      <protection hidden="1"/>
    </xf>
    <xf numFmtId="0" fontId="9" fillId="24" borderId="94" xfId="0" applyFont="1" applyFill="1" applyBorder="1" applyAlignment="1" applyProtection="1">
      <alignment wrapText="1"/>
      <protection hidden="1"/>
    </xf>
    <xf numFmtId="0" fontId="7" fillId="24" borderId="95" xfId="0" applyFont="1" applyFill="1" applyBorder="1" applyAlignment="1" applyProtection="1">
      <alignment horizontal="center"/>
      <protection hidden="1"/>
    </xf>
    <xf numFmtId="0" fontId="7" fillId="24" borderId="77" xfId="0" applyFont="1" applyFill="1" applyBorder="1" applyAlignment="1" applyProtection="1">
      <alignment horizontal="center"/>
      <protection hidden="1"/>
    </xf>
    <xf numFmtId="164" fontId="9" fillId="24" borderId="96" xfId="0" applyNumberFormat="1" applyFont="1" applyFill="1" applyBorder="1" applyAlignment="1" applyProtection="1">
      <alignment horizontal="center"/>
      <protection hidden="1"/>
    </xf>
    <xf numFmtId="164" fontId="9" fillId="24" borderId="97" xfId="0" applyNumberFormat="1" applyFont="1" applyFill="1" applyBorder="1" applyAlignment="1" applyProtection="1">
      <alignment horizontal="center"/>
      <protection hidden="1"/>
    </xf>
    <xf numFmtId="0" fontId="0" fillId="24" borderId="27" xfId="0" applyFill="1" applyBorder="1" applyAlignment="1" applyProtection="1">
      <alignment wrapText="1"/>
      <protection hidden="1"/>
    </xf>
    <xf numFmtId="3" fontId="2" fillId="24" borderId="0" xfId="0" applyNumberFormat="1" applyFont="1" applyFill="1" applyBorder="1" applyAlignment="1" applyProtection="1">
      <alignment horizontal="center" vertical="center"/>
      <protection hidden="1"/>
    </xf>
    <xf numFmtId="3" fontId="2" fillId="26" borderId="0" xfId="0" applyNumberFormat="1" applyFont="1" applyFill="1" applyBorder="1" applyAlignment="1" applyProtection="1">
      <alignment horizontal="center" vertical="center"/>
      <protection locked="0" hidden="1"/>
    </xf>
    <xf numFmtId="0" fontId="1" fillId="26" borderId="0" xfId="0" applyFont="1" applyFill="1" applyBorder="1" applyAlignment="1" applyProtection="1">
      <alignment horizontal="center" vertical="center"/>
      <protection locked="0" hidden="1"/>
    </xf>
    <xf numFmtId="6" fontId="1" fillId="26" borderId="0" xfId="0" applyNumberFormat="1" applyFont="1" applyFill="1" applyBorder="1" applyAlignment="1" applyProtection="1">
      <alignment horizontal="center"/>
      <protection locked="0" hidden="1"/>
    </xf>
    <xf numFmtId="164" fontId="1" fillId="26" borderId="0" xfId="0" applyNumberFormat="1" applyFont="1" applyFill="1" applyBorder="1" applyAlignment="1" applyProtection="1">
      <alignment horizontal="center" vertical="center"/>
      <protection locked="0" hidden="1"/>
    </xf>
    <xf numFmtId="8" fontId="1" fillId="26" borderId="0" xfId="0" applyNumberFormat="1" applyFont="1" applyFill="1" applyBorder="1" applyAlignment="1" applyProtection="1">
      <alignment horizontal="center"/>
      <protection locked="0" hidden="1"/>
    </xf>
    <xf numFmtId="0" fontId="30" fillId="24" borderId="0" xfId="0" applyFont="1" applyFill="1" applyBorder="1" applyAlignment="1" applyProtection="1">
      <alignment horizontal="left" wrapText="1"/>
      <protection hidden="1"/>
    </xf>
    <xf numFmtId="0" fontId="30" fillId="24" borderId="0" xfId="0" applyFont="1" applyFill="1" applyBorder="1" applyAlignment="1" applyProtection="1">
      <alignment horizontal="left" vertical="center" wrapText="1"/>
      <protection hidden="1"/>
    </xf>
    <xf numFmtId="0" fontId="9" fillId="24" borderId="0" xfId="0" applyFont="1" applyFill="1" applyBorder="1" applyAlignment="1" applyProtection="1">
      <alignment horizontal="left" vertical="center" wrapText="1"/>
      <protection hidden="1"/>
    </xf>
    <xf numFmtId="0" fontId="0" fillId="24" borderId="0" xfId="0" applyFill="1" applyAlignment="1" applyProtection="1">
      <alignment vertical="center" wrapText="1"/>
      <protection hidden="1"/>
    </xf>
    <xf numFmtId="0" fontId="3" fillId="24" borderId="0" xfId="0" applyFont="1" applyFill="1" applyBorder="1" applyProtection="1">
      <protection hidden="1"/>
    </xf>
    <xf numFmtId="0" fontId="3" fillId="24" borderId="82" xfId="0" applyFont="1" applyFill="1" applyBorder="1" applyProtection="1">
      <protection hidden="1"/>
    </xf>
    <xf numFmtId="0" fontId="9" fillId="24" borderId="33" xfId="0" applyFont="1" applyFill="1" applyBorder="1" applyProtection="1">
      <protection hidden="1"/>
    </xf>
    <xf numFmtId="0" fontId="0" fillId="24" borderId="86" xfId="0" applyFill="1" applyBorder="1" applyProtection="1">
      <protection hidden="1"/>
    </xf>
    <xf numFmtId="0" fontId="2" fillId="24" borderId="0" xfId="0" applyFont="1" applyFill="1" applyBorder="1" applyAlignment="1" applyProtection="1">
      <alignment wrapText="1"/>
      <protection hidden="1"/>
    </xf>
    <xf numFmtId="0" fontId="2" fillId="24" borderId="0" xfId="0" applyFont="1" applyFill="1" applyBorder="1" applyAlignment="1" applyProtection="1">
      <alignment horizontal="center"/>
      <protection hidden="1"/>
    </xf>
    <xf numFmtId="0" fontId="3" fillId="24" borderId="10" xfId="0" applyFont="1" applyFill="1" applyBorder="1" applyAlignment="1" applyProtection="1">
      <alignment horizontal="center" vertical="center"/>
      <protection hidden="1"/>
    </xf>
    <xf numFmtId="167" fontId="2" fillId="24" borderId="0" xfId="0" applyNumberFormat="1" applyFont="1" applyFill="1" applyBorder="1" applyAlignment="1" applyProtection="1">
      <alignment horizontal="center"/>
      <protection hidden="1"/>
    </xf>
    <xf numFmtId="0" fontId="3" fillId="25" borderId="12" xfId="0" applyFont="1" applyFill="1" applyBorder="1" applyProtection="1">
      <protection hidden="1"/>
    </xf>
    <xf numFmtId="0" fontId="3" fillId="25" borderId="10" xfId="0" applyFont="1" applyFill="1" applyBorder="1" applyProtection="1">
      <protection hidden="1"/>
    </xf>
    <xf numFmtId="0" fontId="1" fillId="25" borderId="0" xfId="0" applyFont="1" applyFill="1" applyBorder="1" applyProtection="1">
      <protection hidden="1"/>
    </xf>
    <xf numFmtId="0" fontId="1" fillId="25" borderId="11" xfId="0" applyFont="1" applyFill="1" applyBorder="1" applyProtection="1">
      <protection hidden="1"/>
    </xf>
    <xf numFmtId="0" fontId="1" fillId="24" borderId="0" xfId="0" applyFont="1" applyFill="1" applyProtection="1">
      <protection hidden="1"/>
    </xf>
    <xf numFmtId="0" fontId="3" fillId="24" borderId="12" xfId="0" applyFont="1" applyFill="1" applyBorder="1" applyProtection="1">
      <protection hidden="1"/>
    </xf>
    <xf numFmtId="0" fontId="3" fillId="24" borderId="10" xfId="0" applyFont="1" applyFill="1" applyBorder="1" applyProtection="1">
      <protection hidden="1"/>
    </xf>
    <xf numFmtId="0" fontId="3" fillId="24" borderId="0" xfId="0" applyFont="1" applyFill="1" applyBorder="1" applyAlignment="1" applyProtection="1">
      <alignment horizontal="center" vertical="center" wrapText="1"/>
      <protection hidden="1"/>
    </xf>
    <xf numFmtId="0" fontId="3" fillId="24" borderId="11" xfId="0" applyFont="1" applyFill="1" applyBorder="1" applyAlignment="1" applyProtection="1">
      <alignment horizontal="center" vertical="center" wrapText="1"/>
      <protection hidden="1"/>
    </xf>
    <xf numFmtId="0" fontId="2" fillId="24" borderId="0" xfId="0" applyFont="1" applyFill="1" applyBorder="1" applyProtection="1">
      <protection hidden="1"/>
    </xf>
    <xf numFmtId="9" fontId="2" fillId="24" borderId="0" xfId="0" applyNumberFormat="1" applyFont="1" applyFill="1" applyBorder="1" applyAlignment="1" applyProtection="1">
      <alignment horizontal="center"/>
      <protection hidden="1"/>
    </xf>
    <xf numFmtId="0" fontId="2" fillId="24" borderId="12" xfId="0" applyFont="1" applyFill="1" applyBorder="1" applyProtection="1">
      <protection hidden="1"/>
    </xf>
    <xf numFmtId="0" fontId="2" fillId="24" borderId="10" xfId="0" applyFont="1" applyFill="1" applyBorder="1" applyProtection="1">
      <protection hidden="1"/>
    </xf>
    <xf numFmtId="167" fontId="1" fillId="24" borderId="0" xfId="0" applyNumberFormat="1" applyFont="1" applyFill="1" applyBorder="1" applyAlignment="1" applyProtection="1">
      <alignment horizontal="center"/>
      <protection hidden="1"/>
    </xf>
    <xf numFmtId="9" fontId="3" fillId="24" borderId="0" xfId="0" applyNumberFormat="1" applyFont="1" applyFill="1" applyBorder="1" applyAlignment="1" applyProtection="1">
      <alignment horizontal="center"/>
      <protection hidden="1"/>
    </xf>
    <xf numFmtId="165" fontId="2" fillId="24" borderId="10" xfId="0" applyNumberFormat="1" applyFont="1" applyFill="1" applyBorder="1" applyAlignment="1" applyProtection="1">
      <alignment horizontal="center"/>
      <protection hidden="1"/>
    </xf>
    <xf numFmtId="0" fontId="1" fillId="0" borderId="12" xfId="0" applyFont="1" applyBorder="1" applyProtection="1">
      <protection hidden="1"/>
    </xf>
    <xf numFmtId="164" fontId="0" fillId="24" borderId="11" xfId="0" applyNumberFormat="1" applyFill="1" applyBorder="1" applyProtection="1">
      <protection hidden="1"/>
    </xf>
    <xf numFmtId="0" fontId="2" fillId="24" borderId="10" xfId="0" applyFont="1" applyFill="1" applyBorder="1" applyAlignment="1" applyProtection="1">
      <alignment wrapText="1"/>
      <protection hidden="1"/>
    </xf>
    <xf numFmtId="0" fontId="3" fillId="25" borderId="59" xfId="0" applyFont="1" applyFill="1" applyBorder="1" applyProtection="1">
      <protection hidden="1"/>
    </xf>
    <xf numFmtId="0" fontId="3" fillId="25" borderId="19" xfId="0" applyFont="1" applyFill="1" applyBorder="1" applyProtection="1">
      <protection hidden="1"/>
    </xf>
    <xf numFmtId="0" fontId="1" fillId="25" borderId="20" xfId="0" applyFont="1" applyFill="1" applyBorder="1" applyProtection="1">
      <protection hidden="1"/>
    </xf>
    <xf numFmtId="0" fontId="1" fillId="25" borderId="68" xfId="0" applyFont="1" applyFill="1" applyBorder="1" applyProtection="1">
      <protection hidden="1"/>
    </xf>
    <xf numFmtId="0" fontId="1" fillId="24" borderId="0" xfId="0" applyFont="1" applyFill="1" applyBorder="1" applyProtection="1">
      <protection hidden="1"/>
    </xf>
    <xf numFmtId="0" fontId="1" fillId="24" borderId="11" xfId="0" applyFont="1" applyFill="1" applyBorder="1" applyProtection="1">
      <protection hidden="1"/>
    </xf>
    <xf numFmtId="0" fontId="2" fillId="25" borderId="10" xfId="0" applyFont="1" applyFill="1" applyBorder="1" applyProtection="1">
      <protection hidden="1"/>
    </xf>
    <xf numFmtId="0" fontId="1" fillId="25" borderId="0" xfId="0" applyFont="1" applyFill="1" applyBorder="1" applyAlignment="1" applyProtection="1">
      <alignment horizontal="center"/>
      <protection hidden="1"/>
    </xf>
    <xf numFmtId="0" fontId="0" fillId="24" borderId="12" xfId="0" applyFill="1" applyBorder="1" applyProtection="1">
      <protection hidden="1"/>
    </xf>
    <xf numFmtId="0" fontId="3" fillId="24" borderId="10" xfId="0" applyFont="1" applyFill="1" applyBorder="1" applyAlignment="1" applyProtection="1">
      <alignment vertical="center"/>
      <protection hidden="1"/>
    </xf>
    <xf numFmtId="0" fontId="3" fillId="24" borderId="11" xfId="0" applyFont="1" applyFill="1" applyBorder="1" applyAlignment="1" applyProtection="1">
      <alignment horizontal="center" wrapText="1"/>
      <protection hidden="1"/>
    </xf>
    <xf numFmtId="0" fontId="3" fillId="24" borderId="0" xfId="0" applyFont="1" applyFill="1" applyAlignment="1" applyProtection="1">
      <alignment horizontal="center" wrapText="1"/>
      <protection hidden="1"/>
    </xf>
    <xf numFmtId="3" fontId="1" fillId="24" borderId="11" xfId="0" applyNumberFormat="1" applyFont="1" applyFill="1" applyBorder="1" applyAlignment="1" applyProtection="1">
      <alignment horizontal="center"/>
      <protection hidden="1"/>
    </xf>
    <xf numFmtId="0" fontId="0" fillId="24" borderId="11" xfId="0" applyFill="1" applyBorder="1" applyProtection="1">
      <protection hidden="1"/>
    </xf>
    <xf numFmtId="3" fontId="3" fillId="24" borderId="11" xfId="0" applyNumberFormat="1" applyFont="1" applyFill="1" applyBorder="1" applyAlignment="1" applyProtection="1">
      <alignment horizontal="center"/>
      <protection hidden="1"/>
    </xf>
    <xf numFmtId="0" fontId="3" fillId="24" borderId="0" xfId="0" applyFont="1" applyFill="1" applyProtection="1">
      <protection hidden="1"/>
    </xf>
    <xf numFmtId="0" fontId="9" fillId="24" borderId="0" xfId="0" applyFont="1" applyFill="1" applyProtection="1">
      <protection hidden="1"/>
    </xf>
    <xf numFmtId="9" fontId="3" fillId="25" borderId="0" xfId="0" applyNumberFormat="1" applyFont="1" applyFill="1" applyBorder="1" applyAlignment="1" applyProtection="1">
      <alignment horizontal="center"/>
      <protection hidden="1"/>
    </xf>
    <xf numFmtId="3" fontId="2" fillId="26" borderId="0" xfId="0" applyNumberFormat="1" applyFont="1" applyFill="1" applyBorder="1" applyAlignment="1" applyProtection="1">
      <alignment horizontal="center"/>
      <protection hidden="1"/>
    </xf>
    <xf numFmtId="0" fontId="3" fillId="0" borderId="12" xfId="0" applyFont="1" applyBorder="1" applyProtection="1">
      <protection hidden="1"/>
    </xf>
    <xf numFmtId="0" fontId="3" fillId="25" borderId="59" xfId="0" applyFont="1" applyFill="1" applyBorder="1" applyAlignment="1" applyProtection="1">
      <alignment wrapText="1"/>
      <protection hidden="1"/>
    </xf>
    <xf numFmtId="165" fontId="2" fillId="25" borderId="19" xfId="0" applyNumberFormat="1" applyFont="1" applyFill="1" applyBorder="1" applyAlignment="1" applyProtection="1">
      <alignment horizontal="center"/>
      <protection hidden="1"/>
    </xf>
    <xf numFmtId="3" fontId="2" fillId="25" borderId="20" xfId="0" applyNumberFormat="1" applyFont="1" applyFill="1" applyBorder="1" applyAlignment="1" applyProtection="1">
      <alignment horizontal="center"/>
      <protection hidden="1"/>
    </xf>
    <xf numFmtId="164" fontId="3" fillId="25" borderId="68" xfId="0" applyNumberFormat="1" applyFont="1" applyFill="1" applyBorder="1" applyAlignment="1" applyProtection="1">
      <alignment horizontal="center"/>
      <protection hidden="1"/>
    </xf>
    <xf numFmtId="0" fontId="3" fillId="25" borderId="94" xfId="0" applyFont="1" applyFill="1" applyBorder="1" applyProtection="1">
      <protection hidden="1"/>
    </xf>
    <xf numFmtId="0" fontId="2" fillId="25" borderId="76" xfId="0" applyFont="1" applyFill="1" applyBorder="1" applyProtection="1">
      <protection hidden="1"/>
    </xf>
    <xf numFmtId="0" fontId="1" fillId="25" borderId="77" xfId="0" applyFont="1" applyFill="1" applyBorder="1" applyAlignment="1" applyProtection="1">
      <alignment horizontal="center"/>
      <protection hidden="1"/>
    </xf>
    <xf numFmtId="0" fontId="1" fillId="25" borderId="97" xfId="0" applyFont="1" applyFill="1" applyBorder="1" applyProtection="1">
      <protection hidden="1"/>
    </xf>
    <xf numFmtId="165" fontId="2" fillId="25" borderId="10" xfId="0" applyNumberFormat="1" applyFont="1" applyFill="1" applyBorder="1" applyAlignment="1" applyProtection="1">
      <alignment horizontal="center"/>
      <protection hidden="1"/>
    </xf>
    <xf numFmtId="3" fontId="2" fillId="25" borderId="0" xfId="0" applyNumberFormat="1" applyFont="1" applyFill="1" applyBorder="1" applyAlignment="1" applyProtection="1">
      <alignment horizontal="center"/>
      <protection hidden="1"/>
    </xf>
    <xf numFmtId="0" fontId="9" fillId="25" borderId="98" xfId="0" applyFont="1" applyFill="1" applyBorder="1" applyProtection="1">
      <protection hidden="1"/>
    </xf>
    <xf numFmtId="0" fontId="9" fillId="25" borderId="43" xfId="0" applyFont="1" applyFill="1" applyBorder="1" applyProtection="1">
      <protection hidden="1"/>
    </xf>
    <xf numFmtId="0" fontId="7" fillId="25" borderId="99" xfId="0" applyFont="1" applyFill="1" applyBorder="1" applyProtection="1">
      <protection hidden="1"/>
    </xf>
    <xf numFmtId="164" fontId="9" fillId="25" borderId="44" xfId="0" applyNumberFormat="1" applyFont="1" applyFill="1" applyBorder="1" applyAlignment="1" applyProtection="1">
      <alignment horizontal="center"/>
      <protection hidden="1"/>
    </xf>
    <xf numFmtId="164" fontId="3" fillId="24" borderId="0" xfId="0" applyNumberFormat="1" applyFont="1" applyFill="1" applyAlignment="1" applyProtection="1">
      <alignment horizontal="center"/>
      <protection hidden="1"/>
    </xf>
    <xf numFmtId="0" fontId="2" fillId="24" borderId="0" xfId="0" applyFont="1" applyFill="1" applyProtection="1">
      <protection hidden="1"/>
    </xf>
    <xf numFmtId="167" fontId="1" fillId="26" borderId="0" xfId="0" applyNumberFormat="1" applyFont="1" applyFill="1" applyBorder="1" applyAlignment="1" applyProtection="1">
      <alignment horizontal="center"/>
      <protection locked="0" hidden="1"/>
    </xf>
    <xf numFmtId="9" fontId="2" fillId="26" borderId="0" xfId="0" applyNumberFormat="1" applyFont="1" applyFill="1" applyBorder="1" applyAlignment="1" applyProtection="1">
      <alignment horizontal="center"/>
      <protection locked="0" hidden="1"/>
    </xf>
    <xf numFmtId="165" fontId="2" fillId="26" borderId="10" xfId="0" applyNumberFormat="1" applyFont="1" applyFill="1" applyBorder="1" applyAlignment="1" applyProtection="1">
      <alignment horizontal="center"/>
      <protection locked="0" hidden="1"/>
    </xf>
    <xf numFmtId="9" fontId="1" fillId="26" borderId="0" xfId="0" applyNumberFormat="1" applyFont="1" applyFill="1" applyAlignment="1" applyProtection="1">
      <alignment horizontal="center"/>
      <protection locked="0" hidden="1"/>
    </xf>
    <xf numFmtId="0" fontId="2" fillId="24" borderId="0" xfId="0" applyFont="1" applyFill="1" applyAlignment="1" applyProtection="1">
      <alignment horizontal="center"/>
      <protection hidden="1"/>
    </xf>
    <xf numFmtId="164" fontId="2" fillId="24" borderId="0" xfId="0" applyNumberFormat="1" applyFont="1" applyFill="1" applyAlignment="1" applyProtection="1">
      <alignment horizontal="center"/>
      <protection hidden="1"/>
    </xf>
    <xf numFmtId="0" fontId="36" fillId="24" borderId="0" xfId="0" applyFont="1" applyFill="1" applyBorder="1" applyAlignment="1" applyProtection="1">
      <alignment horizontal="left" wrapText="1"/>
      <protection hidden="1"/>
    </xf>
    <xf numFmtId="0" fontId="3" fillId="24" borderId="0" xfId="0" applyFont="1" applyFill="1" applyBorder="1" applyAlignment="1" applyProtection="1">
      <alignment wrapText="1"/>
      <protection hidden="1"/>
    </xf>
    <xf numFmtId="0" fontId="3" fillId="24" borderId="100" xfId="0" applyFont="1" applyFill="1" applyBorder="1" applyAlignment="1" applyProtection="1">
      <protection hidden="1"/>
    </xf>
    <xf numFmtId="0" fontId="3" fillId="24" borderId="101" xfId="0" applyFont="1" applyFill="1" applyBorder="1" applyAlignment="1" applyProtection="1">
      <protection hidden="1"/>
    </xf>
    <xf numFmtId="0" fontId="3" fillId="24" borderId="102" xfId="0" applyFont="1" applyFill="1" applyBorder="1" applyAlignment="1" applyProtection="1">
      <protection hidden="1"/>
    </xf>
    <xf numFmtId="0" fontId="2" fillId="24" borderId="0" xfId="0" applyFont="1" applyFill="1" applyAlignment="1" applyProtection="1">
      <alignment wrapText="1"/>
      <protection hidden="1"/>
    </xf>
    <xf numFmtId="164" fontId="2" fillId="24" borderId="17" xfId="0" applyNumberFormat="1" applyFont="1" applyFill="1" applyBorder="1" applyAlignment="1" applyProtection="1">
      <alignment horizontal="center"/>
      <protection hidden="1"/>
    </xf>
    <xf numFmtId="0" fontId="2" fillId="24" borderId="103" xfId="0" applyFont="1" applyFill="1" applyBorder="1" applyAlignment="1" applyProtection="1">
      <alignment horizontal="center"/>
      <protection hidden="1"/>
    </xf>
    <xf numFmtId="0" fontId="2" fillId="24" borderId="104" xfId="0" applyFont="1" applyFill="1" applyBorder="1" applyAlignment="1" applyProtection="1">
      <alignment horizontal="center"/>
      <protection hidden="1"/>
    </xf>
    <xf numFmtId="0" fontId="2" fillId="0" borderId="23" xfId="0" applyFont="1" applyBorder="1" applyAlignment="1" applyProtection="1">
      <alignment horizontal="center" vertical="center" wrapText="1"/>
      <protection hidden="1"/>
    </xf>
    <xf numFmtId="0" fontId="3" fillId="24" borderId="73" xfId="0" applyFont="1" applyFill="1" applyBorder="1" applyAlignment="1" applyProtection="1">
      <alignment horizontal="center" vertical="center" wrapText="1"/>
      <protection hidden="1"/>
    </xf>
    <xf numFmtId="0" fontId="3" fillId="0" borderId="66" xfId="0" applyFont="1" applyBorder="1" applyAlignment="1" applyProtection="1">
      <alignment horizontal="center" vertical="center" wrapText="1"/>
      <protection hidden="1"/>
    </xf>
    <xf numFmtId="164" fontId="3" fillId="24" borderId="74" xfId="0" applyNumberFormat="1" applyFont="1" applyFill="1" applyBorder="1" applyAlignment="1" applyProtection="1">
      <alignment vertical="center" wrapText="1"/>
      <protection hidden="1"/>
    </xf>
    <xf numFmtId="0" fontId="2" fillId="24" borderId="13" xfId="0" applyFont="1" applyFill="1" applyBorder="1" applyAlignment="1" applyProtection="1">
      <alignment horizontal="center" wrapText="1"/>
      <protection hidden="1"/>
    </xf>
    <xf numFmtId="0" fontId="2" fillId="24" borderId="10" xfId="0" applyFont="1" applyFill="1" applyBorder="1" applyAlignment="1" applyProtection="1">
      <alignment horizontal="center" wrapText="1"/>
      <protection hidden="1"/>
    </xf>
    <xf numFmtId="0" fontId="3" fillId="25" borderId="13" xfId="0" applyFont="1" applyFill="1" applyBorder="1" applyAlignment="1" applyProtection="1">
      <alignment wrapText="1"/>
      <protection hidden="1"/>
    </xf>
    <xf numFmtId="0" fontId="3" fillId="25" borderId="10" xfId="0" applyFont="1" applyFill="1" applyBorder="1" applyAlignment="1" applyProtection="1">
      <alignment wrapText="1"/>
      <protection hidden="1"/>
    </xf>
    <xf numFmtId="164" fontId="2" fillId="25" borderId="14" xfId="0" applyNumberFormat="1" applyFont="1" applyFill="1" applyBorder="1" applyAlignment="1" applyProtection="1">
      <alignment horizontal="center"/>
      <protection hidden="1"/>
    </xf>
    <xf numFmtId="164" fontId="2" fillId="25" borderId="10" xfId="0" applyNumberFormat="1" applyFont="1" applyFill="1" applyBorder="1" applyAlignment="1" applyProtection="1">
      <alignment horizontal="center"/>
      <protection hidden="1"/>
    </xf>
    <xf numFmtId="0" fontId="2" fillId="25" borderId="14" xfId="0" applyFont="1" applyFill="1" applyBorder="1" applyAlignment="1" applyProtection="1">
      <alignment horizontal="center"/>
      <protection hidden="1"/>
    </xf>
    <xf numFmtId="0" fontId="2" fillId="24" borderId="13" xfId="0" applyFont="1" applyFill="1" applyBorder="1" applyAlignment="1" applyProtection="1">
      <alignment wrapText="1"/>
      <protection hidden="1"/>
    </xf>
    <xf numFmtId="0" fontId="2" fillId="24" borderId="14" xfId="0" applyFont="1" applyFill="1" applyBorder="1" applyAlignment="1" applyProtection="1">
      <alignment horizontal="center"/>
      <protection hidden="1"/>
    </xf>
    <xf numFmtId="0" fontId="3" fillId="24" borderId="13" xfId="0" applyFont="1" applyFill="1" applyBorder="1" applyAlignment="1" applyProtection="1">
      <alignment wrapText="1"/>
      <protection hidden="1"/>
    </xf>
    <xf numFmtId="0" fontId="3" fillId="24" borderId="10" xfId="0" applyFont="1" applyFill="1" applyBorder="1" applyAlignment="1" applyProtection="1">
      <alignment wrapText="1"/>
      <protection hidden="1"/>
    </xf>
    <xf numFmtId="0" fontId="2" fillId="24" borderId="92" xfId="0" applyFont="1" applyFill="1" applyBorder="1" applyAlignment="1" applyProtection="1">
      <alignment wrapText="1"/>
      <protection hidden="1"/>
    </xf>
    <xf numFmtId="0" fontId="2" fillId="24" borderId="71" xfId="0" applyFont="1" applyFill="1" applyBorder="1" applyAlignment="1" applyProtection="1">
      <alignment wrapText="1"/>
      <protection hidden="1"/>
    </xf>
    <xf numFmtId="3" fontId="2" fillId="24" borderId="57" xfId="0" applyNumberFormat="1" applyFont="1" applyFill="1" applyBorder="1" applyAlignment="1" applyProtection="1">
      <alignment horizontal="center"/>
      <protection hidden="1"/>
    </xf>
    <xf numFmtId="164" fontId="2" fillId="24" borderId="72" xfId="0" applyNumberFormat="1" applyFont="1" applyFill="1" applyBorder="1" applyAlignment="1" applyProtection="1">
      <alignment horizontal="center"/>
      <protection hidden="1"/>
    </xf>
    <xf numFmtId="164" fontId="2" fillId="24" borderId="71" xfId="0" applyNumberFormat="1" applyFont="1" applyFill="1" applyBorder="1" applyAlignment="1" applyProtection="1">
      <alignment horizontal="center"/>
      <protection hidden="1"/>
    </xf>
    <xf numFmtId="0" fontId="2" fillId="24" borderId="72" xfId="0" applyFont="1" applyFill="1" applyBorder="1" applyAlignment="1" applyProtection="1">
      <alignment horizontal="center"/>
      <protection hidden="1"/>
    </xf>
    <xf numFmtId="0" fontId="2" fillId="24" borderId="105" xfId="0" applyFont="1" applyFill="1" applyBorder="1" applyAlignment="1" applyProtection="1">
      <alignment wrapText="1"/>
      <protection hidden="1"/>
    </xf>
    <xf numFmtId="0" fontId="2" fillId="24" borderId="73" xfId="0" applyFont="1" applyFill="1" applyBorder="1" applyAlignment="1" applyProtection="1">
      <alignment wrapText="1"/>
      <protection hidden="1"/>
    </xf>
    <xf numFmtId="3" fontId="2" fillId="24" borderId="66" xfId="0" applyNumberFormat="1" applyFont="1" applyFill="1" applyBorder="1" applyAlignment="1" applyProtection="1">
      <alignment horizontal="center"/>
      <protection hidden="1"/>
    </xf>
    <xf numFmtId="164" fontId="2" fillId="24" borderId="74" xfId="0" applyNumberFormat="1" applyFont="1" applyFill="1" applyBorder="1" applyAlignment="1" applyProtection="1">
      <alignment horizontal="center"/>
      <protection hidden="1"/>
    </xf>
    <xf numFmtId="164" fontId="2" fillId="24" borderId="73" xfId="0" applyNumberFormat="1" applyFont="1" applyFill="1" applyBorder="1" applyAlignment="1" applyProtection="1">
      <alignment horizontal="center"/>
      <protection hidden="1"/>
    </xf>
    <xf numFmtId="0" fontId="2" fillId="24" borderId="74" xfId="0" applyFont="1" applyFill="1" applyBorder="1" applyAlignment="1" applyProtection="1">
      <alignment horizontal="center"/>
      <protection hidden="1"/>
    </xf>
    <xf numFmtId="8" fontId="2" fillId="24" borderId="71" xfId="0" applyNumberFormat="1" applyFont="1" applyFill="1" applyBorder="1" applyAlignment="1" applyProtection="1">
      <alignment horizontal="center" wrapText="1"/>
      <protection hidden="1"/>
    </xf>
    <xf numFmtId="8" fontId="2" fillId="24" borderId="10" xfId="0" applyNumberFormat="1" applyFont="1" applyFill="1" applyBorder="1" applyAlignment="1" applyProtection="1">
      <alignment horizontal="center" wrapText="1"/>
      <protection hidden="1"/>
    </xf>
    <xf numFmtId="165" fontId="2" fillId="24" borderId="10" xfId="0" applyNumberFormat="1" applyFont="1" applyFill="1" applyBorder="1" applyAlignment="1" applyProtection="1">
      <alignment horizontal="center" wrapText="1"/>
      <protection hidden="1"/>
    </xf>
    <xf numFmtId="3" fontId="2" fillId="0" borderId="0" xfId="0" applyNumberFormat="1" applyFont="1" applyBorder="1" applyAlignment="1" applyProtection="1">
      <alignment horizontal="center"/>
      <protection hidden="1"/>
    </xf>
    <xf numFmtId="0" fontId="3" fillId="25" borderId="92" xfId="0" applyFont="1" applyFill="1" applyBorder="1" applyAlignment="1" applyProtection="1">
      <alignment wrapText="1"/>
      <protection hidden="1"/>
    </xf>
    <xf numFmtId="0" fontId="2" fillId="25" borderId="71" xfId="0" applyFont="1" applyFill="1" applyBorder="1" applyAlignment="1" applyProtection="1">
      <alignment wrapText="1"/>
      <protection hidden="1"/>
    </xf>
    <xf numFmtId="3" fontId="2" fillId="25" borderId="57" xfId="0" applyNumberFormat="1" applyFont="1" applyFill="1" applyBorder="1" applyAlignment="1" applyProtection="1">
      <alignment horizontal="center"/>
      <protection hidden="1"/>
    </xf>
    <xf numFmtId="164" fontId="3" fillId="25" borderId="72" xfId="0" applyNumberFormat="1" applyFont="1" applyFill="1" applyBorder="1" applyAlignment="1" applyProtection="1">
      <alignment horizontal="center"/>
      <protection hidden="1"/>
    </xf>
    <xf numFmtId="164" fontId="3" fillId="25" borderId="71" xfId="0" applyNumberFormat="1" applyFont="1" applyFill="1" applyBorder="1" applyAlignment="1" applyProtection="1">
      <alignment horizontal="center"/>
      <protection hidden="1"/>
    </xf>
    <xf numFmtId="0" fontId="3" fillId="25" borderId="105" xfId="0" applyFont="1" applyFill="1" applyBorder="1" applyAlignment="1" applyProtection="1">
      <alignment wrapText="1"/>
      <protection hidden="1"/>
    </xf>
    <xf numFmtId="0" fontId="2" fillId="25" borderId="73" xfId="0" applyFont="1" applyFill="1" applyBorder="1" applyAlignment="1" applyProtection="1">
      <alignment wrapText="1"/>
      <protection hidden="1"/>
    </xf>
    <xf numFmtId="3" fontId="3" fillId="25" borderId="66" xfId="0" applyNumberFormat="1" applyFont="1" applyFill="1" applyBorder="1" applyAlignment="1" applyProtection="1">
      <alignment horizontal="center"/>
      <protection hidden="1"/>
    </xf>
    <xf numFmtId="164" fontId="3" fillId="25" borderId="74" xfId="0" applyNumberFormat="1" applyFont="1" applyFill="1" applyBorder="1" applyAlignment="1" applyProtection="1">
      <alignment horizontal="center"/>
      <protection hidden="1"/>
    </xf>
    <xf numFmtId="164" fontId="3" fillId="25" borderId="73" xfId="0" applyNumberFormat="1" applyFont="1" applyFill="1" applyBorder="1" applyAlignment="1" applyProtection="1">
      <alignment horizontal="center"/>
      <protection hidden="1"/>
    </xf>
    <xf numFmtId="0" fontId="2" fillId="24" borderId="92" xfId="0" applyFont="1" applyFill="1" applyBorder="1" applyAlignment="1" applyProtection="1">
      <alignment vertical="center" wrapText="1"/>
      <protection hidden="1"/>
    </xf>
    <xf numFmtId="8" fontId="2" fillId="24" borderId="71" xfId="0" applyNumberFormat="1" applyFont="1" applyFill="1" applyBorder="1" applyAlignment="1" applyProtection="1">
      <alignment horizontal="center" vertical="center" wrapText="1"/>
      <protection hidden="1"/>
    </xf>
    <xf numFmtId="3" fontId="2" fillId="24" borderId="57" xfId="0" applyNumberFormat="1" applyFont="1" applyFill="1" applyBorder="1" applyAlignment="1" applyProtection="1">
      <alignment horizontal="center" vertical="center"/>
      <protection hidden="1"/>
    </xf>
    <xf numFmtId="164" fontId="3" fillId="24" borderId="72" xfId="0" applyNumberFormat="1" applyFont="1" applyFill="1" applyBorder="1" applyAlignment="1" applyProtection="1">
      <alignment horizontal="center" vertical="center"/>
      <protection hidden="1"/>
    </xf>
    <xf numFmtId="0" fontId="2" fillId="24" borderId="72" xfId="0" applyFont="1" applyFill="1" applyBorder="1" applyAlignment="1" applyProtection="1">
      <alignment horizontal="center" vertical="center"/>
      <protection hidden="1"/>
    </xf>
    <xf numFmtId="0" fontId="2" fillId="24" borderId="14" xfId="0" applyFont="1" applyFill="1" applyBorder="1" applyProtection="1">
      <protection hidden="1"/>
    </xf>
    <xf numFmtId="0" fontId="3" fillId="25" borderId="71" xfId="0" applyFont="1" applyFill="1" applyBorder="1" applyAlignment="1" applyProtection="1">
      <alignment wrapText="1"/>
      <protection hidden="1"/>
    </xf>
    <xf numFmtId="167" fontId="2" fillId="25" borderId="57" xfId="0" applyNumberFormat="1" applyFont="1" applyFill="1" applyBorder="1" applyAlignment="1" applyProtection="1">
      <alignment horizontal="center"/>
      <protection hidden="1"/>
    </xf>
    <xf numFmtId="0" fontId="3" fillId="25" borderId="73" xfId="0" applyFont="1" applyFill="1" applyBorder="1" applyAlignment="1" applyProtection="1">
      <alignment wrapText="1"/>
      <protection hidden="1"/>
    </xf>
    <xf numFmtId="3" fontId="3" fillId="25" borderId="66" xfId="0" applyNumberFormat="1" applyFont="1" applyFill="1" applyBorder="1" applyAlignment="1" applyProtection="1">
      <alignment horizontal="center" vertical="center"/>
      <protection hidden="1"/>
    </xf>
    <xf numFmtId="164" fontId="2" fillId="25" borderId="74" xfId="0" applyNumberFormat="1" applyFont="1" applyFill="1" applyBorder="1" applyAlignment="1" applyProtection="1">
      <alignment horizontal="center" vertical="center"/>
      <protection hidden="1"/>
    </xf>
    <xf numFmtId="0" fontId="3" fillId="25" borderId="73" xfId="0" applyFont="1" applyFill="1" applyBorder="1" applyAlignment="1" applyProtection="1">
      <alignment vertical="center" wrapText="1"/>
      <protection hidden="1"/>
    </xf>
    <xf numFmtId="164" fontId="2" fillId="25" borderId="74" xfId="0" applyNumberFormat="1" applyFont="1" applyFill="1" applyBorder="1" applyAlignment="1" applyProtection="1">
      <alignment horizontal="center"/>
      <protection hidden="1"/>
    </xf>
    <xf numFmtId="8" fontId="3" fillId="24" borderId="10" xfId="0" applyNumberFormat="1" applyFont="1" applyFill="1" applyBorder="1" applyAlignment="1" applyProtection="1">
      <alignment horizontal="center" wrapText="1"/>
      <protection hidden="1"/>
    </xf>
    <xf numFmtId="3" fontId="2" fillId="24" borderId="14" xfId="0" applyNumberFormat="1" applyFont="1" applyFill="1" applyBorder="1" applyAlignment="1" applyProtection="1">
      <alignment horizontal="center"/>
      <protection hidden="1"/>
    </xf>
    <xf numFmtId="0" fontId="3" fillId="25" borderId="95" xfId="0" applyFont="1" applyFill="1" applyBorder="1" applyAlignment="1" applyProtection="1">
      <alignment vertical="center" wrapText="1"/>
      <protection hidden="1"/>
    </xf>
    <xf numFmtId="0" fontId="2" fillId="25" borderId="106" xfId="0" applyFont="1" applyFill="1" applyBorder="1" applyAlignment="1" applyProtection="1">
      <alignment horizontal="center" vertical="center" wrapText="1"/>
      <protection hidden="1"/>
    </xf>
    <xf numFmtId="3" fontId="2" fillId="25" borderId="107" xfId="0" applyNumberFormat="1" applyFont="1" applyFill="1" applyBorder="1" applyAlignment="1" applyProtection="1">
      <alignment horizontal="center" vertical="center"/>
      <protection hidden="1"/>
    </xf>
    <xf numFmtId="164" fontId="3" fillId="25" borderId="108" xfId="0" applyNumberFormat="1" applyFont="1" applyFill="1" applyBorder="1" applyAlignment="1" applyProtection="1">
      <alignment horizontal="center" vertical="center"/>
      <protection hidden="1"/>
    </xf>
    <xf numFmtId="165" fontId="2" fillId="24" borderId="0" xfId="0" applyNumberFormat="1" applyFont="1" applyFill="1" applyProtection="1">
      <protection hidden="1"/>
    </xf>
    <xf numFmtId="0" fontId="2" fillId="24" borderId="0" xfId="0" applyFont="1" applyFill="1" applyAlignment="1" applyProtection="1">
      <alignment horizontal="center" wrapText="1"/>
      <protection hidden="1"/>
    </xf>
    <xf numFmtId="0" fontId="2" fillId="0" borderId="0" xfId="0" applyFont="1" applyAlignment="1" applyProtection="1">
      <alignment wrapText="1"/>
      <protection hidden="1"/>
    </xf>
    <xf numFmtId="0" fontId="2" fillId="0" borderId="0" xfId="0" applyFont="1" applyAlignment="1" applyProtection="1">
      <alignment horizontal="center"/>
      <protection hidden="1"/>
    </xf>
    <xf numFmtId="164" fontId="2" fillId="0" borderId="0" xfId="0" applyNumberFormat="1" applyFont="1" applyAlignment="1" applyProtection="1">
      <alignment horizontal="center"/>
      <protection hidden="1"/>
    </xf>
    <xf numFmtId="9" fontId="3" fillId="26" borderId="0" xfId="0" applyNumberFormat="1" applyFont="1" applyFill="1" applyBorder="1" applyAlignment="1" applyProtection="1">
      <alignment horizontal="center"/>
      <protection locked="0" hidden="1"/>
    </xf>
    <xf numFmtId="3" fontId="2" fillId="26" borderId="57" xfId="0" applyNumberFormat="1" applyFont="1" applyFill="1" applyBorder="1" applyAlignment="1" applyProtection="1">
      <alignment horizontal="center"/>
      <protection locked="0" hidden="1"/>
    </xf>
    <xf numFmtId="167" fontId="2" fillId="26" borderId="0" xfId="0" applyNumberFormat="1" applyFont="1" applyFill="1" applyBorder="1" applyAlignment="1" applyProtection="1">
      <alignment horizontal="center"/>
      <protection locked="0" hidden="1"/>
    </xf>
    <xf numFmtId="8" fontId="2" fillId="26" borderId="71" xfId="0" applyNumberFormat="1" applyFont="1" applyFill="1" applyBorder="1" applyAlignment="1" applyProtection="1">
      <alignment horizontal="center" wrapText="1"/>
      <protection locked="0" hidden="1"/>
    </xf>
    <xf numFmtId="165" fontId="2" fillId="26" borderId="10" xfId="0" applyNumberFormat="1" applyFont="1" applyFill="1" applyBorder="1" applyAlignment="1" applyProtection="1">
      <alignment horizontal="center" wrapText="1"/>
      <protection locked="0" hidden="1"/>
    </xf>
    <xf numFmtId="3" fontId="2" fillId="26" borderId="66" xfId="0" applyNumberFormat="1" applyFont="1" applyFill="1" applyBorder="1" applyAlignment="1" applyProtection="1">
      <alignment horizontal="center"/>
      <protection locked="0" hidden="1"/>
    </xf>
    <xf numFmtId="8" fontId="2" fillId="26" borderId="71" xfId="0" applyNumberFormat="1" applyFont="1" applyFill="1" applyBorder="1" applyAlignment="1" applyProtection="1">
      <alignment horizontal="center" vertical="center" wrapText="1"/>
      <protection locked="0" hidden="1"/>
    </xf>
    <xf numFmtId="8" fontId="2" fillId="26" borderId="10" xfId="0" applyNumberFormat="1" applyFont="1" applyFill="1" applyBorder="1" applyAlignment="1" applyProtection="1">
      <alignment horizontal="center" wrapText="1"/>
      <protection locked="0" hidden="1"/>
    </xf>
    <xf numFmtId="165" fontId="1" fillId="24" borderId="13" xfId="0" applyNumberFormat="1" applyFont="1" applyFill="1" applyBorder="1" applyAlignment="1" applyProtection="1">
      <alignment horizontal="center"/>
      <protection hidden="1"/>
    </xf>
    <xf numFmtId="165" fontId="1" fillId="24" borderId="13" xfId="0" applyNumberFormat="1" applyFont="1" applyFill="1" applyBorder="1" applyAlignment="1" applyProtection="1">
      <alignment horizontal="center" vertical="center"/>
      <protection hidden="1"/>
    </xf>
    <xf numFmtId="165" fontId="2" fillId="24" borderId="13" xfId="0" applyNumberFormat="1" applyFont="1" applyFill="1" applyBorder="1" applyAlignment="1" applyProtection="1">
      <alignment horizontal="center" vertical="center"/>
      <protection hidden="1"/>
    </xf>
    <xf numFmtId="3" fontId="2" fillId="24" borderId="109" xfId="0" applyNumberFormat="1" applyFont="1" applyFill="1" applyBorder="1" applyAlignment="1" applyProtection="1">
      <alignment horizontal="center" vertical="center"/>
      <protection hidden="1"/>
    </xf>
    <xf numFmtId="164" fontId="2" fillId="24" borderId="39" xfId="0" applyNumberFormat="1" applyFont="1" applyFill="1" applyBorder="1" applyAlignment="1" applyProtection="1">
      <alignment horizontal="center" vertical="center"/>
      <protection hidden="1"/>
    </xf>
    <xf numFmtId="0" fontId="2" fillId="24" borderId="36" xfId="0" applyFont="1" applyFill="1" applyBorder="1" applyAlignment="1" applyProtection="1">
      <alignment vertical="center" wrapText="1"/>
      <protection hidden="1"/>
    </xf>
    <xf numFmtId="165" fontId="1" fillId="24" borderId="0" xfId="0" applyNumberFormat="1" applyFont="1" applyFill="1" applyBorder="1" applyAlignment="1" applyProtection="1">
      <alignment horizontal="center" vertical="center"/>
      <protection hidden="1"/>
    </xf>
    <xf numFmtId="164" fontId="1" fillId="24" borderId="0" xfId="0" applyNumberFormat="1" applyFont="1" applyFill="1" applyBorder="1" applyAlignment="1" applyProtection="1">
      <alignment horizontal="center" vertical="center"/>
      <protection hidden="1"/>
    </xf>
    <xf numFmtId="0" fontId="1" fillId="24" borderId="36" xfId="0" applyFont="1" applyFill="1" applyBorder="1" applyAlignment="1" applyProtection="1">
      <alignment wrapText="1"/>
      <protection hidden="1"/>
    </xf>
    <xf numFmtId="165" fontId="1" fillId="24" borderId="0" xfId="0" applyNumberFormat="1" applyFont="1" applyFill="1" applyBorder="1" applyAlignment="1" applyProtection="1">
      <alignment horizontal="center"/>
      <protection hidden="1"/>
    </xf>
    <xf numFmtId="165" fontId="1" fillId="24" borderId="0" xfId="0" applyNumberFormat="1" applyFont="1" applyFill="1" applyAlignment="1" applyProtection="1">
      <alignment horizontal="center"/>
      <protection hidden="1"/>
    </xf>
    <xf numFmtId="9" fontId="1" fillId="24" borderId="0" xfId="0" applyNumberFormat="1" applyFont="1" applyFill="1" applyAlignment="1" applyProtection="1">
      <alignment horizontal="center"/>
      <protection hidden="1"/>
    </xf>
    <xf numFmtId="164" fontId="1" fillId="24" borderId="0" xfId="0" applyNumberFormat="1" applyFont="1" applyFill="1" applyAlignment="1" applyProtection="1">
      <alignment horizontal="center"/>
      <protection hidden="1"/>
    </xf>
    <xf numFmtId="0" fontId="1" fillId="24" borderId="11" xfId="0" applyFont="1" applyFill="1" applyBorder="1" applyAlignment="1" applyProtection="1">
      <alignment horizontal="center"/>
      <protection hidden="1"/>
    </xf>
    <xf numFmtId="3" fontId="1" fillId="24" borderId="0" xfId="0" applyNumberFormat="1" applyFont="1" applyFill="1" applyAlignment="1" applyProtection="1">
      <alignment horizontal="center"/>
      <protection hidden="1"/>
    </xf>
    <xf numFmtId="3" fontId="1" fillId="24" borderId="109" xfId="0" applyNumberFormat="1" applyFont="1" applyFill="1" applyBorder="1" applyAlignment="1" applyProtection="1">
      <alignment horizontal="center"/>
      <protection hidden="1"/>
    </xf>
    <xf numFmtId="0" fontId="1" fillId="24" borderId="0" xfId="0" applyFont="1" applyFill="1" applyAlignment="1" applyProtection="1">
      <alignment horizontal="center"/>
      <protection hidden="1"/>
    </xf>
    <xf numFmtId="0" fontId="3" fillId="25" borderId="36" xfId="0" applyFont="1" applyFill="1" applyBorder="1" applyAlignment="1" applyProtection="1">
      <alignment wrapText="1"/>
      <protection hidden="1"/>
    </xf>
    <xf numFmtId="165" fontId="1" fillId="25" borderId="0" xfId="0" applyNumberFormat="1" applyFont="1" applyFill="1" applyAlignment="1" applyProtection="1">
      <alignment horizontal="center"/>
      <protection hidden="1"/>
    </xf>
    <xf numFmtId="0" fontId="1" fillId="25" borderId="0" xfId="0" applyFont="1" applyFill="1" applyAlignment="1" applyProtection="1">
      <alignment horizontal="center"/>
      <protection hidden="1"/>
    </xf>
    <xf numFmtId="164" fontId="1" fillId="25" borderId="0" xfId="0" applyNumberFormat="1" applyFont="1" applyFill="1" applyAlignment="1" applyProtection="1">
      <alignment horizontal="center"/>
      <protection hidden="1"/>
    </xf>
    <xf numFmtId="0" fontId="1" fillId="25" borderId="13" xfId="0" applyFont="1" applyFill="1" applyBorder="1" applyAlignment="1" applyProtection="1">
      <alignment horizontal="center"/>
      <protection hidden="1"/>
    </xf>
    <xf numFmtId="0" fontId="1" fillId="25" borderId="11" xfId="0" applyFont="1" applyFill="1" applyBorder="1" applyAlignment="1" applyProtection="1">
      <alignment horizontal="center"/>
      <protection hidden="1"/>
    </xf>
    <xf numFmtId="3" fontId="0" fillId="24" borderId="0" xfId="0" applyNumberFormat="1" applyFill="1" applyProtection="1">
      <protection hidden="1"/>
    </xf>
    <xf numFmtId="1" fontId="0" fillId="24" borderId="0" xfId="0" applyNumberFormat="1" applyFill="1" applyProtection="1">
      <protection hidden="1"/>
    </xf>
    <xf numFmtId="9" fontId="0" fillId="24" borderId="11" xfId="0" applyNumberFormat="1" applyFill="1" applyBorder="1" applyAlignment="1" applyProtection="1">
      <alignment horizontal="center"/>
      <protection hidden="1"/>
    </xf>
    <xf numFmtId="9" fontId="0" fillId="24" borderId="0" xfId="0" applyNumberFormat="1" applyFill="1" applyProtection="1">
      <protection hidden="1"/>
    </xf>
    <xf numFmtId="0" fontId="0" fillId="24" borderId="0" xfId="0" applyFill="1" applyAlignment="1" applyProtection="1">
      <alignment vertical="center"/>
      <protection hidden="1"/>
    </xf>
    <xf numFmtId="0" fontId="1" fillId="24" borderId="36" xfId="0" applyFont="1" applyFill="1" applyBorder="1" applyAlignment="1" applyProtection="1">
      <alignment vertical="center" wrapText="1"/>
      <protection hidden="1"/>
    </xf>
    <xf numFmtId="165" fontId="1" fillId="24" borderId="0" xfId="0" applyNumberFormat="1" applyFont="1" applyFill="1" applyAlignment="1" applyProtection="1">
      <alignment horizontal="center" vertical="center"/>
      <protection hidden="1"/>
    </xf>
    <xf numFmtId="164" fontId="1" fillId="24" borderId="0" xfId="0" applyNumberFormat="1" applyFont="1" applyFill="1" applyAlignment="1" applyProtection="1">
      <alignment horizontal="center" vertical="center"/>
      <protection hidden="1"/>
    </xf>
    <xf numFmtId="0" fontId="1" fillId="24" borderId="13" xfId="0" applyFont="1" applyFill="1" applyBorder="1" applyAlignment="1" applyProtection="1">
      <alignment horizontal="center" vertical="center"/>
      <protection hidden="1"/>
    </xf>
    <xf numFmtId="9" fontId="0" fillId="24" borderId="11" xfId="0" applyNumberFormat="1" applyFill="1" applyBorder="1" applyAlignment="1" applyProtection="1">
      <alignment horizontal="center" vertical="center"/>
      <protection hidden="1"/>
    </xf>
    <xf numFmtId="9" fontId="0" fillId="24" borderId="0" xfId="0" applyNumberFormat="1" applyFill="1" applyAlignment="1" applyProtection="1">
      <alignment vertical="center"/>
      <protection hidden="1"/>
    </xf>
    <xf numFmtId="164" fontId="1" fillId="24" borderId="109" xfId="0" applyNumberFormat="1" applyFont="1" applyFill="1" applyBorder="1" applyAlignment="1" applyProtection="1">
      <alignment horizontal="center"/>
      <protection hidden="1"/>
    </xf>
    <xf numFmtId="164" fontId="1" fillId="24" borderId="110" xfId="0" applyNumberFormat="1" applyFont="1" applyFill="1" applyBorder="1" applyAlignment="1" applyProtection="1">
      <alignment horizontal="center"/>
      <protection hidden="1"/>
    </xf>
    <xf numFmtId="165" fontId="1" fillId="24" borderId="39" xfId="0" applyNumberFormat="1" applyFont="1" applyFill="1" applyBorder="1" applyAlignment="1" applyProtection="1">
      <alignment horizontal="center"/>
      <protection hidden="1"/>
    </xf>
    <xf numFmtId="0" fontId="2" fillId="24" borderId="36" xfId="0" applyFont="1" applyFill="1" applyBorder="1" applyAlignment="1" applyProtection="1">
      <alignment wrapText="1"/>
      <protection hidden="1"/>
    </xf>
    <xf numFmtId="165" fontId="2" fillId="24" borderId="0" xfId="0" applyNumberFormat="1" applyFont="1" applyFill="1" applyAlignment="1" applyProtection="1">
      <alignment horizontal="center"/>
      <protection hidden="1"/>
    </xf>
    <xf numFmtId="3" fontId="2" fillId="24" borderId="0" xfId="0" applyNumberFormat="1" applyFont="1" applyFill="1" applyAlignment="1" applyProtection="1">
      <alignment horizontal="center"/>
      <protection hidden="1"/>
    </xf>
    <xf numFmtId="164" fontId="2" fillId="24" borderId="39" xfId="0" applyNumberFormat="1" applyFont="1" applyFill="1" applyBorder="1" applyAlignment="1" applyProtection="1">
      <alignment horizontal="center"/>
      <protection hidden="1"/>
    </xf>
    <xf numFmtId="0" fontId="3" fillId="24" borderId="36" xfId="0" applyFont="1" applyFill="1" applyBorder="1" applyAlignment="1" applyProtection="1">
      <alignment wrapText="1"/>
      <protection hidden="1"/>
    </xf>
    <xf numFmtId="165" fontId="3" fillId="24" borderId="0" xfId="0" applyNumberFormat="1" applyFont="1" applyFill="1" applyAlignment="1" applyProtection="1">
      <alignment horizontal="center"/>
      <protection hidden="1"/>
    </xf>
    <xf numFmtId="0" fontId="3" fillId="24" borderId="0" xfId="0" applyFont="1" applyFill="1" applyAlignment="1" applyProtection="1">
      <alignment horizontal="center"/>
      <protection hidden="1"/>
    </xf>
    <xf numFmtId="164" fontId="3" fillId="24" borderId="111" xfId="0" applyNumberFormat="1" applyFont="1" applyFill="1" applyBorder="1" applyAlignment="1" applyProtection="1">
      <alignment horizontal="center"/>
      <protection hidden="1"/>
    </xf>
    <xf numFmtId="0" fontId="3" fillId="24" borderId="0" xfId="0" applyFont="1" applyFill="1" applyBorder="1" applyAlignment="1" applyProtection="1">
      <alignment horizontal="center"/>
      <protection hidden="1"/>
    </xf>
    <xf numFmtId="164" fontId="3" fillId="24" borderId="110" xfId="0" applyNumberFormat="1" applyFont="1" applyFill="1" applyBorder="1" applyAlignment="1" applyProtection="1">
      <alignment horizontal="center"/>
      <protection hidden="1"/>
    </xf>
    <xf numFmtId="9" fontId="1" fillId="24" borderId="0" xfId="0" applyNumberFormat="1" applyFont="1" applyFill="1" applyAlignment="1" applyProtection="1">
      <alignment horizontal="center" vertical="center"/>
      <protection hidden="1"/>
    </xf>
    <xf numFmtId="0" fontId="9" fillId="24" borderId="0" xfId="0" applyFont="1" applyFill="1" applyAlignment="1" applyProtection="1">
      <alignment vertical="center"/>
      <protection hidden="1"/>
    </xf>
    <xf numFmtId="0" fontId="9" fillId="25" borderId="42" xfId="0" applyFont="1" applyFill="1" applyBorder="1" applyAlignment="1" applyProtection="1">
      <alignment vertical="center" wrapText="1"/>
      <protection hidden="1"/>
    </xf>
    <xf numFmtId="165" fontId="9" fillId="25" borderId="112" xfId="0" applyNumberFormat="1" applyFont="1" applyFill="1" applyBorder="1" applyAlignment="1" applyProtection="1">
      <alignment horizontal="center" vertical="center"/>
      <protection hidden="1"/>
    </xf>
    <xf numFmtId="0" fontId="9" fillId="25" borderId="99" xfId="0" applyFont="1" applyFill="1" applyBorder="1" applyAlignment="1" applyProtection="1">
      <alignment horizontal="center" vertical="center"/>
      <protection hidden="1"/>
    </xf>
    <xf numFmtId="164" fontId="9" fillId="25" borderId="113" xfId="0" applyNumberFormat="1" applyFont="1" applyFill="1" applyBorder="1" applyAlignment="1" applyProtection="1">
      <alignment horizontal="center" vertical="center"/>
      <protection hidden="1"/>
    </xf>
    <xf numFmtId="0" fontId="1" fillId="24" borderId="0" xfId="0" applyFont="1" applyFill="1" applyAlignment="1" applyProtection="1">
      <alignment wrapText="1"/>
      <protection hidden="1"/>
    </xf>
    <xf numFmtId="3" fontId="2" fillId="26" borderId="109" xfId="0" applyNumberFormat="1" applyFont="1" applyFill="1" applyBorder="1" applyAlignment="1" applyProtection="1">
      <alignment horizontal="center" vertical="center"/>
      <protection locked="0" hidden="1"/>
    </xf>
    <xf numFmtId="3" fontId="1" fillId="24" borderId="109" xfId="0" applyNumberFormat="1" applyFont="1" applyFill="1" applyBorder="1" applyAlignment="1" applyProtection="1">
      <alignment horizontal="center"/>
      <protection locked="0" hidden="1"/>
    </xf>
    <xf numFmtId="165" fontId="1" fillId="26" borderId="0" xfId="0" applyNumberFormat="1" applyFont="1" applyFill="1" applyAlignment="1" applyProtection="1">
      <alignment horizontal="center"/>
      <protection locked="0" hidden="1"/>
    </xf>
    <xf numFmtId="165" fontId="1" fillId="26" borderId="13" xfId="0" applyNumberFormat="1" applyFont="1" applyFill="1" applyBorder="1" applyAlignment="1" applyProtection="1">
      <alignment horizontal="center"/>
      <protection locked="0" hidden="1"/>
    </xf>
    <xf numFmtId="6" fontId="1" fillId="26" borderId="13" xfId="0" applyNumberFormat="1" applyFont="1" applyFill="1" applyBorder="1" applyAlignment="1" applyProtection="1">
      <alignment horizontal="center" vertical="center"/>
      <protection locked="0" hidden="1"/>
    </xf>
    <xf numFmtId="9" fontId="1" fillId="26" borderId="0" xfId="0" applyNumberFormat="1" applyFont="1" applyFill="1" applyBorder="1" applyAlignment="1" applyProtection="1">
      <alignment horizontal="center" vertical="center"/>
      <protection locked="0" hidden="1"/>
    </xf>
    <xf numFmtId="164" fontId="0" fillId="24" borderId="27" xfId="0" applyNumberFormat="1" applyFill="1" applyBorder="1" applyAlignment="1" applyProtection="1">
      <alignment horizontal="center"/>
      <protection hidden="1"/>
    </xf>
    <xf numFmtId="164" fontId="0" fillId="24" borderId="40" xfId="0" applyNumberFormat="1" applyFill="1" applyBorder="1" applyAlignment="1" applyProtection="1">
      <alignment horizontal="center"/>
      <protection hidden="1"/>
    </xf>
    <xf numFmtId="164" fontId="0" fillId="24" borderId="114" xfId="0" applyNumberFormat="1" applyFill="1" applyBorder="1" applyAlignment="1" applyProtection="1">
      <alignment horizontal="center"/>
      <protection hidden="1"/>
    </xf>
    <xf numFmtId="164" fontId="2" fillId="24" borderId="91" xfId="0" applyNumberFormat="1" applyFont="1" applyFill="1" applyBorder="1" applyAlignment="1" applyProtection="1">
      <alignment vertical="center" wrapText="1"/>
      <protection hidden="1"/>
    </xf>
    <xf numFmtId="164" fontId="3" fillId="24" borderId="55" xfId="0" applyNumberFormat="1" applyFont="1" applyFill="1" applyBorder="1" applyAlignment="1" applyProtection="1">
      <alignment horizontal="center" vertical="center" wrapText="1"/>
      <protection hidden="1"/>
    </xf>
    <xf numFmtId="164" fontId="3" fillId="24" borderId="93" xfId="0" applyNumberFormat="1" applyFont="1" applyFill="1" applyBorder="1" applyAlignment="1" applyProtection="1">
      <alignment horizontal="center" vertical="center" wrapText="1"/>
      <protection hidden="1"/>
    </xf>
    <xf numFmtId="164" fontId="3" fillId="24" borderId="92" xfId="0" applyNumberFormat="1" applyFont="1" applyFill="1" applyBorder="1" applyAlignment="1" applyProtection="1">
      <alignment horizontal="center" vertical="center" wrapText="1"/>
      <protection hidden="1"/>
    </xf>
    <xf numFmtId="164" fontId="1" fillId="24" borderId="12" xfId="0" applyNumberFormat="1" applyFont="1" applyFill="1" applyBorder="1" applyAlignment="1" applyProtection="1">
      <alignment horizontal="center"/>
      <protection hidden="1"/>
    </xf>
    <xf numFmtId="164" fontId="3" fillId="24" borderId="39" xfId="0" applyNumberFormat="1" applyFont="1" applyFill="1" applyBorder="1" applyAlignment="1" applyProtection="1">
      <alignment horizontal="center"/>
      <protection hidden="1"/>
    </xf>
    <xf numFmtId="164" fontId="9" fillId="24" borderId="0" xfId="0" applyNumberFormat="1" applyFont="1" applyFill="1" applyBorder="1" applyAlignment="1" applyProtection="1">
      <alignment horizontal="center"/>
      <protection hidden="1"/>
    </xf>
    <xf numFmtId="164" fontId="3" fillId="24" borderId="12" xfId="0" applyNumberFormat="1" applyFont="1" applyFill="1" applyBorder="1" applyAlignment="1" applyProtection="1">
      <alignment horizontal="center"/>
      <protection hidden="1"/>
    </xf>
    <xf numFmtId="164" fontId="9" fillId="24" borderId="11" xfId="0" applyNumberFormat="1" applyFont="1" applyFill="1" applyBorder="1" applyAlignment="1" applyProtection="1">
      <alignment horizontal="center"/>
      <protection hidden="1"/>
    </xf>
    <xf numFmtId="0" fontId="0" fillId="24" borderId="13" xfId="0" applyFill="1" applyBorder="1" applyProtection="1">
      <protection hidden="1"/>
    </xf>
    <xf numFmtId="164" fontId="0" fillId="24" borderId="12" xfId="0" applyNumberFormat="1" applyFill="1" applyBorder="1" applyAlignment="1" applyProtection="1">
      <alignment horizontal="center"/>
      <protection hidden="1"/>
    </xf>
    <xf numFmtId="164" fontId="0" fillId="24" borderId="13" xfId="0" applyNumberFormat="1" applyFill="1" applyBorder="1" applyAlignment="1" applyProtection="1">
      <alignment horizontal="center"/>
      <protection hidden="1"/>
    </xf>
    <xf numFmtId="0" fontId="2" fillId="25" borderId="12" xfId="0" applyFont="1" applyFill="1" applyBorder="1" applyAlignment="1" applyProtection="1">
      <alignment wrapText="1"/>
      <protection hidden="1"/>
    </xf>
    <xf numFmtId="164" fontId="1" fillId="25" borderId="12" xfId="0" applyNumberFormat="1" applyFont="1" applyFill="1" applyBorder="1" applyAlignment="1" applyProtection="1">
      <alignment horizontal="center"/>
      <protection hidden="1"/>
    </xf>
    <xf numFmtId="164" fontId="1" fillId="25" borderId="39" xfId="0" applyNumberFormat="1" applyFont="1" applyFill="1" applyBorder="1" applyAlignment="1" applyProtection="1">
      <alignment horizontal="center"/>
      <protection hidden="1"/>
    </xf>
    <xf numFmtId="164" fontId="0" fillId="25" borderId="0" xfId="0" applyNumberFormat="1" applyFill="1" applyBorder="1" applyAlignment="1" applyProtection="1">
      <alignment horizontal="center"/>
      <protection hidden="1"/>
    </xf>
    <xf numFmtId="164" fontId="0" fillId="25" borderId="11" xfId="0" applyNumberFormat="1" applyFill="1" applyBorder="1" applyAlignment="1" applyProtection="1">
      <alignment horizontal="center"/>
      <protection hidden="1"/>
    </xf>
    <xf numFmtId="165" fontId="2" fillId="24" borderId="12" xfId="0" applyNumberFormat="1" applyFont="1" applyFill="1" applyBorder="1" applyAlignment="1" applyProtection="1">
      <alignment horizontal="center"/>
      <protection hidden="1"/>
    </xf>
    <xf numFmtId="165" fontId="2" fillId="24" borderId="39" xfId="0" applyNumberFormat="1" applyFont="1" applyFill="1" applyBorder="1" applyAlignment="1" applyProtection="1">
      <alignment horizontal="center"/>
      <protection hidden="1"/>
    </xf>
    <xf numFmtId="165" fontId="2" fillId="26" borderId="13" xfId="0" applyNumberFormat="1" applyFont="1" applyFill="1" applyBorder="1" applyAlignment="1" applyProtection="1">
      <alignment horizontal="center"/>
      <protection hidden="1"/>
    </xf>
    <xf numFmtId="165" fontId="2" fillId="24" borderId="11" xfId="0" applyNumberFormat="1" applyFont="1" applyFill="1" applyBorder="1" applyAlignment="1" applyProtection="1">
      <alignment horizontal="center"/>
      <protection hidden="1"/>
    </xf>
    <xf numFmtId="165" fontId="1" fillId="24" borderId="12" xfId="0" applyNumberFormat="1" applyFont="1" applyFill="1" applyBorder="1" applyAlignment="1" applyProtection="1">
      <alignment horizontal="center"/>
      <protection hidden="1"/>
    </xf>
    <xf numFmtId="164" fontId="2" fillId="24" borderId="12" xfId="0" applyNumberFormat="1" applyFont="1" applyFill="1" applyBorder="1" applyAlignment="1" applyProtection="1">
      <alignment horizontal="center"/>
      <protection hidden="1"/>
    </xf>
    <xf numFmtId="164" fontId="7" fillId="24" borderId="0" xfId="0" applyNumberFormat="1" applyFont="1" applyFill="1" applyBorder="1" applyAlignment="1" applyProtection="1">
      <alignment horizontal="center"/>
      <protection hidden="1"/>
    </xf>
    <xf numFmtId="164" fontId="7" fillId="24" borderId="11" xfId="0" applyNumberFormat="1" applyFont="1" applyFill="1" applyBorder="1" applyAlignment="1" applyProtection="1">
      <alignment horizontal="center"/>
      <protection hidden="1"/>
    </xf>
    <xf numFmtId="168" fontId="2" fillId="24" borderId="0" xfId="0" applyNumberFormat="1" applyFont="1" applyFill="1" applyBorder="1" applyAlignment="1" applyProtection="1">
      <alignment horizontal="center"/>
      <protection hidden="1"/>
    </xf>
    <xf numFmtId="165" fontId="2" fillId="24" borderId="13" xfId="0" applyNumberFormat="1" applyFont="1" applyFill="1" applyBorder="1" applyAlignment="1" applyProtection="1">
      <alignment horizontal="center"/>
      <protection hidden="1"/>
    </xf>
    <xf numFmtId="3" fontId="3" fillId="24" borderId="13" xfId="0" applyNumberFormat="1" applyFont="1" applyFill="1" applyBorder="1" applyAlignment="1" applyProtection="1">
      <alignment horizontal="center"/>
      <protection hidden="1"/>
    </xf>
    <xf numFmtId="165" fontId="3" fillId="24" borderId="39" xfId="0" applyNumberFormat="1" applyFont="1" applyFill="1" applyBorder="1" applyAlignment="1" applyProtection="1">
      <alignment horizontal="center"/>
      <protection hidden="1"/>
    </xf>
    <xf numFmtId="165" fontId="3" fillId="24" borderId="11" xfId="0" applyNumberFormat="1" applyFont="1" applyFill="1" applyBorder="1" applyAlignment="1" applyProtection="1">
      <alignment horizontal="center"/>
      <protection hidden="1"/>
    </xf>
    <xf numFmtId="164" fontId="3" fillId="24" borderId="13" xfId="0" applyNumberFormat="1" applyFont="1" applyFill="1" applyBorder="1" applyAlignment="1" applyProtection="1">
      <alignment horizontal="center"/>
      <protection hidden="1"/>
    </xf>
    <xf numFmtId="164" fontId="9" fillId="24" borderId="39" xfId="0" applyNumberFormat="1" applyFont="1" applyFill="1" applyBorder="1" applyAlignment="1" applyProtection="1">
      <alignment horizontal="center"/>
      <protection hidden="1"/>
    </xf>
    <xf numFmtId="164" fontId="0" fillId="24" borderId="38" xfId="0" applyNumberFormat="1" applyFill="1" applyBorder="1" applyAlignment="1" applyProtection="1">
      <alignment horizontal="center"/>
      <protection hidden="1"/>
    </xf>
    <xf numFmtId="10" fontId="2" fillId="26" borderId="0" xfId="0" applyNumberFormat="1" applyFont="1" applyFill="1" applyBorder="1" applyAlignment="1" applyProtection="1">
      <alignment horizontal="center"/>
      <protection locked="0" hidden="1"/>
    </xf>
    <xf numFmtId="164" fontId="1" fillId="26" borderId="13" xfId="0" applyNumberFormat="1" applyFont="1" applyFill="1" applyBorder="1" applyAlignment="1" applyProtection="1">
      <alignment horizontal="center"/>
      <protection locked="0" hidden="1"/>
    </xf>
    <xf numFmtId="165" fontId="2" fillId="26" borderId="13" xfId="0" applyNumberFormat="1" applyFont="1" applyFill="1" applyBorder="1" applyAlignment="1" applyProtection="1">
      <alignment horizontal="center"/>
      <protection locked="0" hidden="1"/>
    </xf>
    <xf numFmtId="168" fontId="2" fillId="26" borderId="0" xfId="0" applyNumberFormat="1" applyFont="1" applyFill="1" applyBorder="1" applyAlignment="1" applyProtection="1">
      <alignment horizontal="center"/>
      <protection locked="0" hidden="1"/>
    </xf>
    <xf numFmtId="0" fontId="10" fillId="24" borderId="0" xfId="0" applyFont="1" applyFill="1" applyBorder="1" applyAlignment="1" applyProtection="1">
      <alignment vertical="center" wrapText="1"/>
      <protection hidden="1"/>
    </xf>
    <xf numFmtId="0" fontId="7" fillId="24" borderId="0" xfId="0" applyFont="1" applyFill="1" applyAlignment="1" applyProtection="1">
      <alignment horizontal="center"/>
      <protection hidden="1"/>
    </xf>
    <xf numFmtId="164" fontId="7" fillId="24" borderId="0" xfId="0" applyNumberFormat="1" applyFont="1" applyFill="1" applyAlignment="1" applyProtection="1">
      <alignment horizontal="center"/>
      <protection hidden="1"/>
    </xf>
    <xf numFmtId="0" fontId="7" fillId="24" borderId="0" xfId="0" applyFont="1" applyFill="1" applyProtection="1">
      <protection hidden="1"/>
    </xf>
    <xf numFmtId="164" fontId="9" fillId="24" borderId="0" xfId="0" applyNumberFormat="1" applyFont="1" applyFill="1" applyBorder="1" applyAlignment="1" applyProtection="1">
      <alignment horizontal="left" wrapText="1"/>
      <protection hidden="1"/>
    </xf>
    <xf numFmtId="0" fontId="11" fillId="24" borderId="100" xfId="0" applyFont="1" applyFill="1" applyBorder="1" applyAlignment="1" applyProtection="1">
      <protection hidden="1"/>
    </xf>
    <xf numFmtId="0" fontId="11" fillId="24" borderId="101" xfId="0" applyFont="1" applyFill="1" applyBorder="1" applyAlignment="1" applyProtection="1">
      <protection hidden="1"/>
    </xf>
    <xf numFmtId="0" fontId="11" fillId="24" borderId="102" xfId="0" applyFont="1" applyFill="1" applyBorder="1" applyAlignment="1" applyProtection="1">
      <protection hidden="1"/>
    </xf>
    <xf numFmtId="164" fontId="3" fillId="24" borderId="74" xfId="0" applyNumberFormat="1" applyFont="1" applyFill="1" applyBorder="1" applyAlignment="1" applyProtection="1">
      <alignment horizontal="center" vertical="center" wrapText="1"/>
      <protection hidden="1"/>
    </xf>
    <xf numFmtId="164" fontId="2" fillId="25" borderId="0" xfId="0" applyNumberFormat="1" applyFont="1" applyFill="1" applyBorder="1" applyAlignment="1" applyProtection="1">
      <alignment horizontal="center"/>
      <protection hidden="1"/>
    </xf>
    <xf numFmtId="0" fontId="3" fillId="25" borderId="115" xfId="0" applyFont="1" applyFill="1" applyBorder="1" applyAlignment="1" applyProtection="1">
      <alignment wrapText="1"/>
      <protection hidden="1"/>
    </xf>
    <xf numFmtId="0" fontId="2" fillId="25" borderId="0" xfId="0" applyFont="1" applyFill="1" applyAlignment="1" applyProtection="1">
      <alignment wrapText="1"/>
      <protection hidden="1"/>
    </xf>
    <xf numFmtId="0" fontId="2" fillId="25" borderId="0" xfId="0" applyFont="1" applyFill="1" applyAlignment="1" applyProtection="1">
      <alignment horizontal="center"/>
      <protection hidden="1"/>
    </xf>
    <xf numFmtId="164" fontId="2" fillId="25" borderId="0" xfId="0" applyNumberFormat="1" applyFont="1" applyFill="1" applyAlignment="1" applyProtection="1">
      <alignment horizontal="center"/>
      <protection hidden="1"/>
    </xf>
    <xf numFmtId="164" fontId="2" fillId="25" borderId="16" xfId="0" applyNumberFormat="1" applyFont="1" applyFill="1" applyBorder="1" applyAlignment="1" applyProtection="1">
      <alignment horizontal="center"/>
      <protection hidden="1"/>
    </xf>
    <xf numFmtId="0" fontId="2" fillId="24" borderId="13" xfId="0" applyFont="1" applyFill="1" applyBorder="1" applyAlignment="1" applyProtection="1">
      <alignment vertical="center" wrapText="1"/>
      <protection hidden="1"/>
    </xf>
    <xf numFmtId="0" fontId="2" fillId="24" borderId="10" xfId="0" applyFont="1" applyFill="1" applyBorder="1" applyAlignment="1" applyProtection="1">
      <alignment vertical="center" wrapText="1"/>
      <protection hidden="1"/>
    </xf>
    <xf numFmtId="164" fontId="2" fillId="24" borderId="14" xfId="0" applyNumberFormat="1" applyFont="1" applyFill="1" applyBorder="1" applyAlignment="1" applyProtection="1">
      <alignment horizontal="center" vertical="center"/>
      <protection hidden="1"/>
    </xf>
    <xf numFmtId="164" fontId="2" fillId="24" borderId="10" xfId="0" applyNumberFormat="1" applyFont="1" applyFill="1" applyBorder="1" applyAlignment="1" applyProtection="1">
      <alignment horizontal="center" vertical="center"/>
      <protection hidden="1"/>
    </xf>
    <xf numFmtId="0" fontId="2" fillId="24" borderId="14" xfId="0" applyFont="1" applyFill="1" applyBorder="1" applyAlignment="1" applyProtection="1">
      <alignment horizontal="center" vertical="center"/>
      <protection hidden="1"/>
    </xf>
    <xf numFmtId="1" fontId="2" fillId="24" borderId="0" xfId="0" applyNumberFormat="1" applyFont="1" applyFill="1" applyBorder="1" applyAlignment="1" applyProtection="1">
      <alignment horizontal="center" wrapText="1"/>
      <protection hidden="1"/>
    </xf>
    <xf numFmtId="0" fontId="2" fillId="0" borderId="116" xfId="0" applyFont="1" applyBorder="1" applyAlignment="1" applyProtection="1">
      <alignment horizontal="left" vertical="top" wrapText="1"/>
      <protection hidden="1"/>
    </xf>
    <xf numFmtId="8" fontId="2" fillId="24" borderId="10" xfId="0" applyNumberFormat="1" applyFont="1" applyFill="1" applyBorder="1" applyAlignment="1" applyProtection="1">
      <alignment wrapText="1"/>
      <protection hidden="1"/>
    </xf>
    <xf numFmtId="0" fontId="3" fillId="24" borderId="95" xfId="0" applyFont="1" applyFill="1" applyBorder="1" applyAlignment="1" applyProtection="1">
      <alignment wrapText="1"/>
      <protection hidden="1"/>
    </xf>
    <xf numFmtId="0" fontId="2" fillId="24" borderId="76" xfId="0" applyFont="1" applyFill="1" applyBorder="1" applyAlignment="1" applyProtection="1">
      <alignment wrapText="1"/>
      <protection hidden="1"/>
    </xf>
    <xf numFmtId="9" fontId="2" fillId="24" borderId="77" xfId="0" applyNumberFormat="1" applyFont="1" applyFill="1" applyBorder="1" applyAlignment="1" applyProtection="1">
      <alignment horizontal="center"/>
      <protection hidden="1"/>
    </xf>
    <xf numFmtId="164" fontId="3" fillId="24" borderId="78" xfId="0" applyNumberFormat="1" applyFont="1" applyFill="1" applyBorder="1" applyAlignment="1" applyProtection="1">
      <alignment horizontal="center"/>
      <protection hidden="1"/>
    </xf>
    <xf numFmtId="164" fontId="2" fillId="25" borderId="77" xfId="0" applyNumberFormat="1" applyFont="1" applyFill="1" applyBorder="1" applyAlignment="1" applyProtection="1">
      <alignment horizontal="center"/>
      <protection hidden="1"/>
    </xf>
    <xf numFmtId="164" fontId="2" fillId="24" borderId="76" xfId="0" applyNumberFormat="1" applyFont="1" applyFill="1" applyBorder="1" applyAlignment="1" applyProtection="1">
      <alignment horizontal="center"/>
      <protection hidden="1"/>
    </xf>
    <xf numFmtId="0" fontId="2" fillId="24" borderId="115" xfId="0" applyFont="1" applyFill="1" applyBorder="1" applyAlignment="1" applyProtection="1">
      <alignment horizontal="left" vertical="top" wrapText="1"/>
      <protection hidden="1"/>
    </xf>
    <xf numFmtId="0" fontId="3" fillId="25" borderId="115" xfId="0" applyFont="1" applyFill="1" applyBorder="1" applyAlignment="1" applyProtection="1">
      <alignment horizontal="left" vertical="top" wrapText="1"/>
      <protection hidden="1"/>
    </xf>
    <xf numFmtId="8" fontId="2" fillId="25" borderId="10" xfId="0" applyNumberFormat="1" applyFont="1" applyFill="1" applyBorder="1" applyAlignment="1" applyProtection="1">
      <alignment wrapText="1"/>
      <protection hidden="1"/>
    </xf>
    <xf numFmtId="9" fontId="2" fillId="25" borderId="0" xfId="0" applyNumberFormat="1" applyFont="1" applyFill="1" applyBorder="1" applyAlignment="1" applyProtection="1">
      <alignment horizontal="center"/>
      <protection hidden="1"/>
    </xf>
    <xf numFmtId="8" fontId="2" fillId="25" borderId="0" xfId="0" applyNumberFormat="1" applyFont="1" applyFill="1" applyBorder="1" applyAlignment="1" applyProtection="1">
      <alignment horizontal="center" wrapText="1"/>
      <protection hidden="1"/>
    </xf>
    <xf numFmtId="0" fontId="3" fillId="24" borderId="117" xfId="0" applyFont="1" applyFill="1" applyBorder="1" applyAlignment="1" applyProtection="1">
      <alignment wrapText="1"/>
      <protection hidden="1"/>
    </xf>
    <xf numFmtId="8" fontId="2" fillId="24" borderId="19" xfId="0" applyNumberFormat="1" applyFont="1" applyFill="1" applyBorder="1" applyAlignment="1" applyProtection="1">
      <alignment wrapText="1"/>
      <protection hidden="1"/>
    </xf>
    <xf numFmtId="9" fontId="2" fillId="24" borderId="20" xfId="0" applyNumberFormat="1" applyFont="1" applyFill="1" applyBorder="1" applyAlignment="1" applyProtection="1">
      <alignment horizontal="center"/>
      <protection hidden="1"/>
    </xf>
    <xf numFmtId="164" fontId="3" fillId="24" borderId="20" xfId="0" applyNumberFormat="1" applyFont="1" applyFill="1" applyBorder="1" applyAlignment="1" applyProtection="1">
      <alignment horizontal="center"/>
      <protection hidden="1"/>
    </xf>
    <xf numFmtId="9" fontId="3" fillId="24" borderId="20" xfId="0" applyNumberFormat="1" applyFont="1" applyFill="1" applyBorder="1" applyAlignment="1" applyProtection="1">
      <alignment horizontal="center"/>
      <protection hidden="1"/>
    </xf>
    <xf numFmtId="164" fontId="3" fillId="24" borderId="22" xfId="0" applyNumberFormat="1" applyFont="1" applyFill="1" applyBorder="1" applyAlignment="1" applyProtection="1">
      <alignment horizontal="center"/>
      <protection hidden="1"/>
    </xf>
    <xf numFmtId="0" fontId="35" fillId="24" borderId="0" xfId="0" applyFont="1" applyFill="1" applyAlignment="1" applyProtection="1">
      <alignment wrapText="1"/>
      <protection hidden="1"/>
    </xf>
    <xf numFmtId="0" fontId="9" fillId="25" borderId="118" xfId="35" applyFont="1" applyFill="1" applyBorder="1" applyAlignment="1" applyProtection="1">
      <alignment horizontal="left" vertical="center" wrapText="1"/>
      <protection locked="0"/>
    </xf>
    <xf numFmtId="0" fontId="65" fillId="0" borderId="0" xfId="35" applyFont="1" applyBorder="1" applyAlignment="1" applyProtection="1">
      <protection locked="0"/>
    </xf>
    <xf numFmtId="0" fontId="65" fillId="24" borderId="0" xfId="35" applyFont="1" applyFill="1" applyBorder="1" applyAlignment="1" applyProtection="1">
      <alignment wrapText="1"/>
      <protection locked="0"/>
    </xf>
    <xf numFmtId="0" fontId="56" fillId="24" borderId="0" xfId="0" applyFont="1" applyFill="1" applyAlignment="1" applyProtection="1">
      <alignment wrapText="1"/>
      <protection hidden="1"/>
    </xf>
    <xf numFmtId="0" fontId="56" fillId="24" borderId="0" xfId="44" applyFont="1" applyFill="1" applyBorder="1" applyProtection="1">
      <protection hidden="1"/>
    </xf>
    <xf numFmtId="0" fontId="3" fillId="24" borderId="13" xfId="0" applyFont="1" applyFill="1" applyBorder="1" applyAlignment="1" applyProtection="1">
      <alignment vertical="center" wrapText="1"/>
      <protection hidden="1"/>
    </xf>
    <xf numFmtId="3" fontId="46" fillId="26" borderId="12" xfId="39" applyNumberFormat="1" applyFont="1" applyFill="1" applyBorder="1" applyAlignment="1" applyProtection="1">
      <alignment horizontal="center"/>
      <protection locked="0" hidden="1"/>
    </xf>
    <xf numFmtId="3" fontId="46" fillId="26" borderId="12" xfId="39" applyNumberFormat="1" applyFont="1" applyFill="1" applyBorder="1" applyAlignment="1" applyProtection="1">
      <alignment horizontal="center" wrapText="1"/>
      <protection locked="0" hidden="1"/>
    </xf>
    <xf numFmtId="167" fontId="29" fillId="24" borderId="116" xfId="39" applyNumberFormat="1" applyFont="1" applyFill="1" applyBorder="1" applyAlignment="1" applyProtection="1">
      <alignment horizontal="center"/>
      <protection hidden="1"/>
    </xf>
    <xf numFmtId="1" fontId="29" fillId="26" borderId="11" xfId="39" applyNumberFormat="1" applyFont="1" applyFill="1" applyBorder="1" applyAlignment="1" applyProtection="1">
      <alignment horizontal="center"/>
      <protection locked="0" hidden="1"/>
    </xf>
    <xf numFmtId="3" fontId="29" fillId="26" borderId="36" xfId="39" applyNumberFormat="1" applyFont="1" applyFill="1" applyBorder="1" applyAlignment="1" applyProtection="1">
      <alignment horizontal="center"/>
      <protection locked="0" hidden="1"/>
    </xf>
    <xf numFmtId="10" fontId="29" fillId="24" borderId="0" xfId="39" applyNumberFormat="1" applyFont="1" applyFill="1" applyBorder="1" applyAlignment="1" applyProtection="1">
      <alignment horizontal="center"/>
      <protection hidden="1"/>
    </xf>
    <xf numFmtId="1" fontId="29" fillId="26" borderId="13" xfId="39" applyNumberFormat="1" applyFont="1" applyFill="1" applyBorder="1" applyAlignment="1" applyProtection="1">
      <alignment horizontal="center"/>
      <protection locked="0" hidden="1"/>
    </xf>
    <xf numFmtId="1" fontId="45" fillId="24" borderId="16" xfId="39" applyNumberFormat="1" applyFont="1" applyFill="1" applyBorder="1" applyAlignment="1" applyProtection="1">
      <alignment horizontal="center"/>
      <protection hidden="1"/>
    </xf>
    <xf numFmtId="166" fontId="29" fillId="24" borderId="39" xfId="39" applyNumberFormat="1" applyFont="1" applyFill="1" applyBorder="1" applyAlignment="1" applyProtection="1">
      <alignment horizontal="center"/>
      <protection hidden="1"/>
    </xf>
    <xf numFmtId="3" fontId="45" fillId="24" borderId="119" xfId="39" applyNumberFormat="1" applyFont="1" applyFill="1" applyBorder="1" applyAlignment="1" applyProtection="1">
      <alignment horizontal="center"/>
      <protection hidden="1"/>
    </xf>
    <xf numFmtId="3" fontId="37" fillId="24" borderId="113" xfId="39" applyNumberFormat="1" applyFont="1" applyFill="1" applyBorder="1" applyAlignment="1" applyProtection="1">
      <alignment horizontal="center"/>
      <protection hidden="1"/>
    </xf>
    <xf numFmtId="3" fontId="47" fillId="24" borderId="42" xfId="39" applyNumberFormat="1" applyFont="1" applyFill="1" applyBorder="1" applyAlignment="1" applyProtection="1">
      <alignment horizontal="center"/>
      <protection hidden="1"/>
    </xf>
    <xf numFmtId="9" fontId="37" fillId="24" borderId="120" xfId="39" applyNumberFormat="1" applyFont="1" applyFill="1" applyBorder="1" applyAlignment="1" applyProtection="1">
      <alignment horizontal="center"/>
      <protection hidden="1"/>
    </xf>
    <xf numFmtId="1" fontId="37" fillId="24" borderId="44" xfId="39" applyNumberFormat="1" applyFont="1" applyFill="1" applyBorder="1" applyAlignment="1" applyProtection="1">
      <alignment horizontal="center"/>
      <protection hidden="1"/>
    </xf>
    <xf numFmtId="3" fontId="37" fillId="24" borderId="121" xfId="39" applyNumberFormat="1" applyFont="1" applyFill="1" applyBorder="1" applyAlignment="1" applyProtection="1">
      <alignment horizontal="center"/>
      <protection hidden="1"/>
    </xf>
    <xf numFmtId="9" fontId="37" fillId="24" borderId="99" xfId="39" applyNumberFormat="1" applyFont="1" applyFill="1" applyBorder="1" applyAlignment="1" applyProtection="1">
      <alignment horizontal="center"/>
      <protection hidden="1"/>
    </xf>
    <xf numFmtId="3" fontId="37" fillId="24" borderId="112" xfId="39" applyNumberFormat="1" applyFont="1" applyFill="1" applyBorder="1" applyAlignment="1" applyProtection="1">
      <alignment horizontal="center"/>
      <protection hidden="1"/>
    </xf>
    <xf numFmtId="3" fontId="37" fillId="24" borderId="120" xfId="39" applyNumberFormat="1" applyFont="1" applyFill="1" applyBorder="1" applyAlignment="1" applyProtection="1">
      <alignment horizontal="center"/>
      <protection hidden="1"/>
    </xf>
    <xf numFmtId="0" fontId="37" fillId="24" borderId="44" xfId="39" applyFont="1" applyFill="1" applyBorder="1" applyAlignment="1" applyProtection="1">
      <alignment horizontal="center"/>
      <protection hidden="1"/>
    </xf>
    <xf numFmtId="1" fontId="29" fillId="26" borderId="0" xfId="39" applyNumberFormat="1" applyFont="1" applyFill="1" applyBorder="1" applyAlignment="1" applyProtection="1">
      <alignment horizontal="center"/>
      <protection locked="0" hidden="1"/>
    </xf>
    <xf numFmtId="3" fontId="45" fillId="24" borderId="0" xfId="39" applyNumberFormat="1" applyFont="1" applyFill="1" applyBorder="1" applyAlignment="1" applyProtection="1">
      <alignment horizontal="center" vertical="center" wrapText="1"/>
      <protection hidden="1"/>
    </xf>
    <xf numFmtId="0" fontId="32" fillId="24" borderId="42" xfId="39" applyFont="1" applyFill="1" applyBorder="1" applyAlignment="1" applyProtection="1">
      <alignment horizontal="left" vertical="center"/>
      <protection hidden="1"/>
    </xf>
    <xf numFmtId="0" fontId="37" fillId="24" borderId="122" xfId="39" applyFont="1" applyFill="1" applyBorder="1" applyAlignment="1" applyProtection="1">
      <alignment horizontal="center" vertical="center"/>
      <protection hidden="1"/>
    </xf>
    <xf numFmtId="164" fontId="37" fillId="24" borderId="99" xfId="39" applyNumberFormat="1" applyFont="1" applyFill="1" applyBorder="1" applyAlignment="1" applyProtection="1">
      <alignment horizontal="center" vertical="center"/>
      <protection hidden="1"/>
    </xf>
    <xf numFmtId="164" fontId="37" fillId="24" borderId="0" xfId="39" applyNumberFormat="1" applyFont="1" applyFill="1" applyAlignment="1" applyProtection="1">
      <alignment horizontal="center" vertical="center"/>
      <protection hidden="1"/>
    </xf>
    <xf numFmtId="0" fontId="37" fillId="24" borderId="0" xfId="39" applyFont="1" applyFill="1" applyBorder="1" applyAlignment="1" applyProtection="1">
      <alignment horizontal="center" vertical="center"/>
      <protection hidden="1"/>
    </xf>
    <xf numFmtId="0" fontId="37" fillId="24" borderId="0" xfId="39" applyFont="1" applyFill="1" applyAlignment="1" applyProtection="1">
      <alignment horizontal="center" vertical="center"/>
      <protection hidden="1"/>
    </xf>
    <xf numFmtId="164" fontId="37" fillId="24" borderId="123" xfId="39" applyNumberFormat="1" applyFont="1" applyFill="1" applyBorder="1" applyAlignment="1" applyProtection="1">
      <alignment horizontal="center" vertical="center"/>
      <protection hidden="1"/>
    </xf>
    <xf numFmtId="3" fontId="37" fillId="24" borderId="122" xfId="39" applyNumberFormat="1" applyFont="1" applyFill="1" applyBorder="1" applyAlignment="1" applyProtection="1">
      <alignment horizontal="center" vertical="center"/>
      <protection hidden="1"/>
    </xf>
    <xf numFmtId="3" fontId="29" fillId="24" borderId="14" xfId="39" applyNumberFormat="1" applyFont="1" applyFill="1" applyBorder="1" applyAlignment="1" applyProtection="1">
      <alignment horizontal="center"/>
      <protection hidden="1"/>
    </xf>
    <xf numFmtId="164" fontId="29" fillId="26" borderId="0" xfId="39" applyNumberFormat="1" applyFont="1" applyFill="1" applyBorder="1" applyAlignment="1" applyProtection="1">
      <alignment horizontal="center"/>
      <protection locked="0" hidden="1"/>
    </xf>
    <xf numFmtId="164" fontId="29" fillId="24" borderId="47" xfId="39" applyNumberFormat="1" applyFont="1" applyFill="1" applyBorder="1" applyAlignment="1" applyProtection="1">
      <alignment horizontal="center"/>
      <protection hidden="1"/>
    </xf>
    <xf numFmtId="0" fontId="46" fillId="26" borderId="124" xfId="39" applyFont="1" applyFill="1" applyBorder="1" applyAlignment="1" applyProtection="1">
      <alignment horizontal="center"/>
      <protection locked="0" hidden="1"/>
    </xf>
    <xf numFmtId="0" fontId="46" fillId="26" borderId="115" xfId="39" applyFont="1" applyFill="1" applyBorder="1" applyAlignment="1" applyProtection="1">
      <alignment horizontal="center"/>
      <protection locked="0" hidden="1"/>
    </xf>
    <xf numFmtId="0" fontId="46" fillId="26" borderId="125" xfId="39" applyFont="1" applyFill="1" applyBorder="1" applyAlignment="1" applyProtection="1">
      <alignment horizontal="center"/>
      <protection locked="0" hidden="1"/>
    </xf>
    <xf numFmtId="0" fontId="29" fillId="24" borderId="0" xfId="39" applyFont="1" applyFill="1" applyProtection="1">
      <protection hidden="1"/>
    </xf>
    <xf numFmtId="0" fontId="37" fillId="24" borderId="100" xfId="39" applyFont="1" applyFill="1" applyBorder="1" applyAlignment="1" applyProtection="1">
      <alignment horizontal="left" vertical="top" wrapText="1" indent="1"/>
      <protection hidden="1"/>
    </xf>
    <xf numFmtId="0" fontId="37" fillId="24" borderId="101" xfId="39" applyFont="1" applyFill="1" applyBorder="1" applyAlignment="1" applyProtection="1">
      <alignment horizontal="left" vertical="top" wrapText="1" indent="1"/>
      <protection hidden="1"/>
    </xf>
    <xf numFmtId="0" fontId="38" fillId="24" borderId="0" xfId="39" applyFont="1" applyFill="1" applyAlignment="1" applyProtection="1">
      <alignment horizontal="center"/>
      <protection hidden="1"/>
    </xf>
    <xf numFmtId="0" fontId="37" fillId="24" borderId="17" xfId="39" applyFont="1" applyFill="1" applyBorder="1" applyAlignment="1" applyProtection="1">
      <alignment horizontal="left" vertical="top" wrapText="1" indent="1"/>
      <protection hidden="1"/>
    </xf>
    <xf numFmtId="0" fontId="37" fillId="24" borderId="103" xfId="39" applyFont="1" applyFill="1" applyBorder="1" applyAlignment="1" applyProtection="1">
      <alignment horizontal="left" vertical="top" wrapText="1" indent="1"/>
      <protection hidden="1"/>
    </xf>
    <xf numFmtId="0" fontId="37" fillId="24" borderId="104" xfId="39" applyFont="1" applyFill="1" applyBorder="1" applyAlignment="1" applyProtection="1">
      <alignment horizontal="left" vertical="top" wrapText="1" indent="1"/>
      <protection hidden="1"/>
    </xf>
    <xf numFmtId="0" fontId="37" fillId="24" borderId="126" xfId="39" applyFont="1" applyFill="1" applyBorder="1" applyAlignment="1" applyProtection="1">
      <alignment horizontal="left" vertical="top" wrapText="1" indent="1"/>
      <protection hidden="1"/>
    </xf>
    <xf numFmtId="0" fontId="37" fillId="24" borderId="127" xfId="39" applyFont="1" applyFill="1" applyBorder="1" applyAlignment="1" applyProtection="1">
      <alignment horizontal="left" vertical="top" wrapText="1" indent="1"/>
      <protection hidden="1"/>
    </xf>
    <xf numFmtId="0" fontId="37" fillId="24" borderId="127" xfId="39" applyFont="1" applyFill="1" applyBorder="1" applyAlignment="1" applyProtection="1">
      <alignment horizontal="left" vertical="center" wrapText="1" indent="1"/>
      <protection hidden="1"/>
    </xf>
    <xf numFmtId="0" fontId="37" fillId="24" borderId="128" xfId="39" applyFont="1" applyFill="1" applyBorder="1" applyAlignment="1" applyProtection="1">
      <alignment horizontal="left" vertical="center" wrapText="1" indent="1"/>
      <protection hidden="1"/>
    </xf>
    <xf numFmtId="0" fontId="39" fillId="24" borderId="100" xfId="39" applyFont="1" applyFill="1" applyBorder="1" applyAlignment="1" applyProtection="1">
      <alignment wrapText="1"/>
      <protection hidden="1"/>
    </xf>
    <xf numFmtId="0" fontId="39" fillId="24" borderId="101" xfId="39" applyFont="1" applyFill="1" applyBorder="1" applyAlignment="1" applyProtection="1">
      <alignment wrapText="1"/>
      <protection hidden="1"/>
    </xf>
    <xf numFmtId="1" fontId="40" fillId="24" borderId="101" xfId="39" applyNumberFormat="1" applyFont="1" applyFill="1" applyBorder="1" applyAlignment="1" applyProtection="1">
      <alignment horizontal="center" wrapText="1"/>
      <protection hidden="1"/>
    </xf>
    <xf numFmtId="3" fontId="40" fillId="24" borderId="101" xfId="39" applyNumberFormat="1" applyFont="1" applyFill="1" applyBorder="1" applyAlignment="1" applyProtection="1">
      <alignment horizontal="right" wrapText="1"/>
      <protection hidden="1"/>
    </xf>
    <xf numFmtId="0" fontId="40" fillId="24" borderId="102" xfId="39" applyFont="1" applyFill="1" applyBorder="1" applyAlignment="1" applyProtection="1">
      <alignment horizontal="right" wrapText="1"/>
      <protection hidden="1"/>
    </xf>
    <xf numFmtId="0" fontId="29" fillId="24" borderId="39" xfId="39" applyFont="1" applyFill="1" applyBorder="1" applyProtection="1">
      <protection hidden="1"/>
    </xf>
    <xf numFmtId="168" fontId="29" fillId="24" borderId="116" xfId="39" applyNumberFormat="1" applyFont="1" applyFill="1" applyBorder="1" applyAlignment="1" applyProtection="1">
      <alignment horizontal="center"/>
      <protection hidden="1"/>
    </xf>
    <xf numFmtId="3" fontId="40" fillId="24" borderId="116" xfId="39" applyNumberFormat="1" applyFont="1" applyFill="1" applyBorder="1" applyAlignment="1" applyProtection="1">
      <alignment horizontal="center" wrapText="1"/>
      <protection hidden="1"/>
    </xf>
    <xf numFmtId="3" fontId="29" fillId="24" borderId="129" xfId="39" applyNumberFormat="1" applyFont="1" applyFill="1" applyBorder="1" applyAlignment="1" applyProtection="1">
      <alignment horizontal="center"/>
      <protection hidden="1"/>
    </xf>
    <xf numFmtId="0" fontId="29" fillId="0" borderId="23" xfId="39" applyFont="1" applyBorder="1" applyAlignment="1" applyProtection="1">
      <alignment horizontal="center" vertical="center" wrapText="1"/>
      <protection hidden="1"/>
    </xf>
    <xf numFmtId="0" fontId="39" fillId="24" borderId="10" xfId="39" applyFont="1" applyFill="1" applyBorder="1" applyAlignment="1" applyProtection="1">
      <alignment wrapText="1"/>
      <protection hidden="1"/>
    </xf>
    <xf numFmtId="0" fontId="39" fillId="24" borderId="0" xfId="39" applyFont="1" applyFill="1" applyBorder="1" applyAlignment="1" applyProtection="1">
      <alignment wrapText="1"/>
      <protection hidden="1"/>
    </xf>
    <xf numFmtId="1" fontId="40" fillId="24" borderId="0" xfId="39" applyNumberFormat="1" applyFont="1" applyFill="1" applyBorder="1" applyAlignment="1" applyProtection="1">
      <alignment horizontal="center" wrapText="1"/>
      <protection hidden="1"/>
    </xf>
    <xf numFmtId="3" fontId="40" fillId="24" borderId="0" xfId="39" applyNumberFormat="1" applyFont="1" applyFill="1" applyBorder="1" applyAlignment="1" applyProtection="1">
      <alignment horizontal="right" wrapText="1"/>
      <protection hidden="1"/>
    </xf>
    <xf numFmtId="3" fontId="40" fillId="24" borderId="14" xfId="39" applyNumberFormat="1" applyFont="1" applyFill="1" applyBorder="1" applyAlignment="1" applyProtection="1">
      <alignment horizontal="right" wrapText="1"/>
      <protection hidden="1"/>
    </xf>
    <xf numFmtId="3" fontId="29" fillId="24" borderId="116" xfId="39" applyNumberFormat="1" applyFont="1" applyFill="1" applyBorder="1" applyAlignment="1" applyProtection="1">
      <alignment horizontal="center"/>
      <protection hidden="1"/>
    </xf>
    <xf numFmtId="9" fontId="29" fillId="28" borderId="18" xfId="39" applyNumberFormat="1" applyFont="1" applyFill="1" applyBorder="1" applyAlignment="1" applyProtection="1">
      <alignment horizontal="center"/>
      <protection hidden="1"/>
    </xf>
    <xf numFmtId="0" fontId="29" fillId="0" borderId="0" xfId="39" applyFont="1" applyProtection="1">
      <protection hidden="1"/>
    </xf>
    <xf numFmtId="0" fontId="29" fillId="28" borderId="0" xfId="39" applyFont="1" applyFill="1" applyProtection="1">
      <protection hidden="1"/>
    </xf>
    <xf numFmtId="9" fontId="29" fillId="24" borderId="0" xfId="39" applyNumberFormat="1" applyFont="1" applyFill="1" applyProtection="1">
      <protection hidden="1"/>
    </xf>
    <xf numFmtId="10" fontId="29" fillId="24" borderId="0" xfId="39" applyNumberFormat="1" applyFont="1" applyFill="1" applyProtection="1">
      <protection hidden="1"/>
    </xf>
    <xf numFmtId="0" fontId="39" fillId="24" borderId="73" xfId="39" applyFont="1" applyFill="1" applyBorder="1" applyAlignment="1" applyProtection="1">
      <alignment wrapText="1"/>
      <protection hidden="1"/>
    </xf>
    <xf numFmtId="0" fontId="41" fillId="24" borderId="66" xfId="39" applyFont="1" applyFill="1" applyBorder="1" applyAlignment="1" applyProtection="1">
      <alignment wrapText="1"/>
      <protection hidden="1"/>
    </xf>
    <xf numFmtId="1" fontId="41" fillId="24" borderId="66" xfId="39" applyNumberFormat="1" applyFont="1" applyFill="1" applyBorder="1" applyAlignment="1" applyProtection="1">
      <alignment horizontal="center" wrapText="1"/>
      <protection hidden="1"/>
    </xf>
    <xf numFmtId="3" fontId="41" fillId="24" borderId="66" xfId="39" applyNumberFormat="1" applyFont="1" applyFill="1" applyBorder="1" applyAlignment="1" applyProtection="1">
      <alignment horizontal="right" wrapText="1"/>
      <protection hidden="1"/>
    </xf>
    <xf numFmtId="3" fontId="41" fillId="24" borderId="74" xfId="39" applyNumberFormat="1" applyFont="1" applyFill="1" applyBorder="1" applyAlignment="1" applyProtection="1">
      <alignment horizontal="right" wrapText="1"/>
      <protection hidden="1"/>
    </xf>
    <xf numFmtId="0" fontId="42" fillId="24" borderId="130" xfId="39" applyFont="1" applyFill="1" applyBorder="1" applyProtection="1">
      <protection hidden="1"/>
    </xf>
    <xf numFmtId="3" fontId="42" fillId="24" borderId="131" xfId="39" applyNumberFormat="1" applyFont="1" applyFill="1" applyBorder="1" applyAlignment="1" applyProtection="1">
      <alignment horizontal="center"/>
      <protection hidden="1"/>
    </xf>
    <xf numFmtId="3" fontId="42" fillId="24" borderId="108" xfId="39" applyNumberFormat="1" applyFont="1" applyFill="1" applyBorder="1" applyAlignment="1" applyProtection="1">
      <alignment horizontal="center"/>
      <protection hidden="1"/>
    </xf>
    <xf numFmtId="0" fontId="40" fillId="24" borderId="14" xfId="39" applyFont="1" applyFill="1" applyBorder="1" applyAlignment="1" applyProtection="1">
      <alignment horizontal="right" wrapText="1"/>
      <protection hidden="1"/>
    </xf>
    <xf numFmtId="4" fontId="29" fillId="24" borderId="0" xfId="39" applyNumberFormat="1" applyFont="1" applyFill="1" applyProtection="1">
      <protection hidden="1"/>
    </xf>
    <xf numFmtId="3" fontId="29" fillId="24" borderId="0" xfId="39" applyNumberFormat="1" applyFont="1" applyFill="1" applyProtection="1">
      <protection hidden="1"/>
    </xf>
    <xf numFmtId="3" fontId="43" fillId="24" borderId="0" xfId="39" applyNumberFormat="1" applyFont="1" applyFill="1" applyAlignment="1" applyProtection="1">
      <alignment horizontal="center"/>
      <protection hidden="1"/>
    </xf>
    <xf numFmtId="0" fontId="37" fillId="24" borderId="48" xfId="39" applyFont="1" applyFill="1" applyBorder="1" applyProtection="1">
      <protection hidden="1"/>
    </xf>
    <xf numFmtId="0" fontId="29" fillId="24" borderId="101" xfId="39" applyFont="1" applyFill="1" applyBorder="1" applyProtection="1">
      <protection hidden="1"/>
    </xf>
    <xf numFmtId="0" fontId="37" fillId="24" borderId="132" xfId="39" applyFont="1" applyFill="1" applyBorder="1" applyAlignment="1" applyProtection="1">
      <alignment horizontal="center"/>
      <protection hidden="1"/>
    </xf>
    <xf numFmtId="0" fontId="44" fillId="24" borderId="132" xfId="39" applyFont="1" applyFill="1" applyBorder="1" applyAlignment="1" applyProtection="1">
      <alignment horizontal="center"/>
      <protection hidden="1"/>
    </xf>
    <xf numFmtId="0" fontId="37" fillId="24" borderId="133" xfId="39" applyFont="1" applyFill="1" applyBorder="1" applyAlignment="1" applyProtection="1">
      <alignment horizontal="center"/>
      <protection hidden="1"/>
    </xf>
    <xf numFmtId="0" fontId="37" fillId="24" borderId="12" xfId="39" applyFont="1" applyFill="1" applyBorder="1" applyAlignment="1" applyProtection="1">
      <alignment horizontal="left"/>
      <protection hidden="1"/>
    </xf>
    <xf numFmtId="0" fontId="37" fillId="24" borderId="0" xfId="39" applyFont="1" applyFill="1" applyBorder="1" applyProtection="1">
      <protection hidden="1"/>
    </xf>
    <xf numFmtId="3" fontId="29" fillId="24" borderId="134" xfId="39" applyNumberFormat="1" applyFont="1" applyFill="1" applyBorder="1" applyAlignment="1" applyProtection="1">
      <alignment horizontal="center"/>
      <protection hidden="1"/>
    </xf>
    <xf numFmtId="0" fontId="29" fillId="24" borderId="27" xfId="39" applyFont="1" applyFill="1" applyBorder="1" applyProtection="1">
      <protection hidden="1"/>
    </xf>
    <xf numFmtId="0" fontId="37" fillId="24" borderId="29" xfId="39" applyFont="1" applyFill="1" applyBorder="1" applyProtection="1">
      <protection hidden="1"/>
    </xf>
    <xf numFmtId="167" fontId="29" fillId="24" borderId="135" xfId="39" applyNumberFormat="1" applyFont="1" applyFill="1" applyBorder="1" applyAlignment="1" applyProtection="1">
      <alignment horizontal="center"/>
      <protection hidden="1"/>
    </xf>
    <xf numFmtId="9" fontId="29" fillId="24" borderId="136" xfId="39" applyNumberFormat="1" applyFont="1" applyFill="1" applyBorder="1" applyAlignment="1" applyProtection="1">
      <alignment horizontal="center"/>
      <protection hidden="1"/>
    </xf>
    <xf numFmtId="0" fontId="41" fillId="24" borderId="0" xfId="39" applyFont="1" applyFill="1" applyBorder="1" applyAlignment="1" applyProtection="1">
      <alignment wrapText="1"/>
      <protection hidden="1"/>
    </xf>
    <xf numFmtId="1" fontId="41" fillId="24" borderId="0" xfId="39" applyNumberFormat="1" applyFont="1" applyFill="1" applyBorder="1" applyAlignment="1" applyProtection="1">
      <alignment horizontal="center" wrapText="1"/>
      <protection hidden="1"/>
    </xf>
    <xf numFmtId="3" fontId="41" fillId="24" borderId="0" xfId="39" applyNumberFormat="1" applyFont="1" applyFill="1" applyBorder="1" applyAlignment="1" applyProtection="1">
      <alignment horizontal="right" wrapText="1"/>
      <protection hidden="1"/>
    </xf>
    <xf numFmtId="3" fontId="41" fillId="24" borderId="14" xfId="39" applyNumberFormat="1" applyFont="1" applyFill="1" applyBorder="1" applyAlignment="1" applyProtection="1">
      <alignment horizontal="right" wrapText="1"/>
      <protection hidden="1"/>
    </xf>
    <xf numFmtId="0" fontId="29" fillId="24" borderId="0" xfId="39" applyFont="1" applyFill="1" applyBorder="1" applyProtection="1">
      <protection hidden="1"/>
    </xf>
    <xf numFmtId="0" fontId="38" fillId="24" borderId="0" xfId="39" applyFont="1" applyFill="1" applyProtection="1">
      <protection hidden="1"/>
    </xf>
    <xf numFmtId="0" fontId="45" fillId="24" borderId="0" xfId="39" applyFont="1" applyFill="1" applyAlignment="1" applyProtection="1">
      <alignment horizontal="center" vertical="center"/>
      <protection hidden="1"/>
    </xf>
    <xf numFmtId="0" fontId="39" fillId="24" borderId="0" xfId="39" applyFont="1" applyFill="1" applyAlignment="1" applyProtection="1">
      <alignment horizontal="left"/>
      <protection hidden="1"/>
    </xf>
    <xf numFmtId="0" fontId="29" fillId="24" borderId="34" xfId="39" applyFont="1" applyFill="1" applyBorder="1" applyAlignment="1" applyProtection="1">
      <alignment horizontal="center" vertical="center" wrapText="1"/>
      <protection hidden="1"/>
    </xf>
    <xf numFmtId="0" fontId="29" fillId="24" borderId="33" xfId="39" applyFont="1" applyFill="1" applyBorder="1" applyProtection="1">
      <protection hidden="1"/>
    </xf>
    <xf numFmtId="0" fontId="29" fillId="24" borderId="137" xfId="39" applyFont="1" applyFill="1" applyBorder="1" applyAlignment="1" applyProtection="1">
      <alignment horizontal="center" vertical="center" wrapText="1"/>
      <protection hidden="1"/>
    </xf>
    <xf numFmtId="0" fontId="29" fillId="24" borderId="0" xfId="39" applyFont="1" applyFill="1" applyBorder="1" applyAlignment="1" applyProtection="1">
      <alignment horizontal="center" wrapText="1"/>
      <protection hidden="1"/>
    </xf>
    <xf numFmtId="0" fontId="29" fillId="24" borderId="0" xfId="39" applyFont="1" applyFill="1" applyAlignment="1" applyProtection="1">
      <alignment horizontal="center"/>
      <protection hidden="1"/>
    </xf>
    <xf numFmtId="0" fontId="29" fillId="24" borderId="12" xfId="39" applyFont="1" applyFill="1" applyBorder="1" applyProtection="1">
      <protection hidden="1"/>
    </xf>
    <xf numFmtId="0" fontId="32" fillId="24" borderId="42" xfId="39" applyFont="1" applyFill="1" applyBorder="1" applyProtection="1">
      <protection hidden="1"/>
    </xf>
    <xf numFmtId="9" fontId="37" fillId="24" borderId="0" xfId="39" applyNumberFormat="1" applyFont="1" applyFill="1" applyAlignment="1" applyProtection="1">
      <alignment horizontal="center"/>
      <protection hidden="1"/>
    </xf>
    <xf numFmtId="1" fontId="29" fillId="24" borderId="0" xfId="39" applyNumberFormat="1" applyFont="1" applyFill="1" applyProtection="1">
      <protection hidden="1"/>
    </xf>
    <xf numFmtId="0" fontId="37" fillId="24" borderId="34" xfId="39" applyFont="1" applyFill="1" applyBorder="1" applyProtection="1">
      <protection hidden="1"/>
    </xf>
    <xf numFmtId="0" fontId="37" fillId="24" borderId="138" xfId="39" applyFont="1" applyFill="1" applyBorder="1" applyProtection="1">
      <protection hidden="1"/>
    </xf>
    <xf numFmtId="0" fontId="37" fillId="24" borderId="24" xfId="39" applyFont="1" applyFill="1" applyBorder="1" applyProtection="1">
      <protection hidden="1"/>
    </xf>
    <xf numFmtId="0" fontId="29" fillId="24" borderId="14" xfId="39" applyFont="1" applyFill="1" applyBorder="1" applyProtection="1">
      <protection hidden="1"/>
    </xf>
    <xf numFmtId="0" fontId="46" fillId="24" borderId="0" xfId="39" applyFont="1" applyFill="1" applyBorder="1" applyAlignment="1" applyProtection="1">
      <alignment horizontal="right" wrapText="1"/>
      <protection hidden="1"/>
    </xf>
    <xf numFmtId="1" fontId="29" fillId="24" borderId="0" xfId="39" applyNumberFormat="1" applyFont="1" applyFill="1" applyBorder="1" applyProtection="1">
      <protection hidden="1"/>
    </xf>
    <xf numFmtId="164" fontId="29" fillId="24" borderId="0" xfId="39" applyNumberFormat="1" applyFont="1" applyFill="1" applyProtection="1">
      <protection hidden="1"/>
    </xf>
    <xf numFmtId="165" fontId="29" fillId="24" borderId="0" xfId="39" applyNumberFormat="1" applyFont="1" applyFill="1" applyProtection="1">
      <protection hidden="1"/>
    </xf>
    <xf numFmtId="0" fontId="45" fillId="24" borderId="139" xfId="39" applyFont="1" applyFill="1" applyBorder="1" applyProtection="1">
      <protection hidden="1"/>
    </xf>
    <xf numFmtId="0" fontId="42" fillId="24" borderId="70" xfId="39" applyFont="1" applyFill="1" applyBorder="1" applyProtection="1">
      <protection hidden="1"/>
    </xf>
    <xf numFmtId="0" fontId="0" fillId="24" borderId="128" xfId="0" applyFill="1" applyBorder="1" applyProtection="1">
      <protection hidden="1"/>
    </xf>
    <xf numFmtId="0" fontId="48" fillId="24" borderId="0" xfId="39" applyFont="1" applyFill="1" applyProtection="1">
      <protection hidden="1"/>
    </xf>
    <xf numFmtId="0" fontId="42" fillId="24" borderId="0" xfId="39" applyFont="1" applyFill="1" applyProtection="1">
      <protection hidden="1"/>
    </xf>
    <xf numFmtId="0" fontId="46" fillId="24" borderId="10" xfId="0" applyFont="1" applyFill="1" applyBorder="1" applyProtection="1">
      <protection hidden="1"/>
    </xf>
    <xf numFmtId="0" fontId="2" fillId="24" borderId="124" xfId="0" applyFont="1" applyFill="1" applyBorder="1" applyProtection="1">
      <protection hidden="1"/>
    </xf>
    <xf numFmtId="164" fontId="2" fillId="24" borderId="115" xfId="0" applyNumberFormat="1" applyFont="1" applyFill="1" applyBorder="1" applyAlignment="1" applyProtection="1">
      <alignment horizontal="center"/>
      <protection hidden="1"/>
    </xf>
    <xf numFmtId="0" fontId="42" fillId="24" borderId="128" xfId="39" applyFont="1" applyFill="1" applyBorder="1" applyProtection="1">
      <protection hidden="1"/>
    </xf>
    <xf numFmtId="0" fontId="45" fillId="0" borderId="140" xfId="0" applyFont="1" applyBorder="1" applyProtection="1">
      <protection hidden="1"/>
    </xf>
    <xf numFmtId="0" fontId="42" fillId="24" borderId="132" xfId="39" applyFont="1" applyFill="1" applyBorder="1" applyProtection="1">
      <protection hidden="1"/>
    </xf>
    <xf numFmtId="0" fontId="45" fillId="24" borderId="141" xfId="39" applyFont="1" applyFill="1" applyBorder="1" applyAlignment="1" applyProtection="1">
      <alignment horizontal="center"/>
      <protection hidden="1"/>
    </xf>
    <xf numFmtId="0" fontId="1" fillId="24" borderId="71" xfId="0" applyFont="1" applyFill="1" applyBorder="1" applyProtection="1">
      <protection hidden="1"/>
    </xf>
    <xf numFmtId="0" fontId="1" fillId="24" borderId="57" xfId="0" applyFont="1" applyFill="1" applyBorder="1" applyProtection="1">
      <protection hidden="1"/>
    </xf>
    <xf numFmtId="0" fontId="46" fillId="24" borderId="142" xfId="0" applyFont="1" applyFill="1" applyBorder="1" applyProtection="1">
      <protection hidden="1"/>
    </xf>
    <xf numFmtId="0" fontId="46" fillId="24" borderId="129" xfId="39" applyFont="1" applyFill="1" applyBorder="1" applyProtection="1">
      <protection hidden="1"/>
    </xf>
    <xf numFmtId="0" fontId="46" fillId="24" borderId="0" xfId="39" applyFont="1" applyFill="1" applyProtection="1">
      <protection hidden="1"/>
    </xf>
    <xf numFmtId="0" fontId="1" fillId="24" borderId="10" xfId="0" applyFont="1" applyFill="1" applyBorder="1" applyProtection="1">
      <protection hidden="1"/>
    </xf>
    <xf numFmtId="164" fontId="1" fillId="24" borderId="115" xfId="0" applyNumberFormat="1" applyFont="1" applyFill="1" applyBorder="1" applyAlignment="1" applyProtection="1">
      <alignment horizontal="center"/>
      <protection hidden="1"/>
    </xf>
    <xf numFmtId="0" fontId="46" fillId="24" borderId="10" xfId="39" applyFont="1" applyFill="1" applyBorder="1" applyProtection="1">
      <protection hidden="1"/>
    </xf>
    <xf numFmtId="0" fontId="46" fillId="24" borderId="39" xfId="39" applyFont="1" applyFill="1" applyBorder="1" applyProtection="1">
      <protection hidden="1"/>
    </xf>
    <xf numFmtId="0" fontId="46" fillId="24" borderId="73" xfId="39" applyFont="1" applyFill="1" applyBorder="1" applyProtection="1">
      <protection hidden="1"/>
    </xf>
    <xf numFmtId="0" fontId="46" fillId="24" borderId="143" xfId="39" applyFont="1" applyFill="1" applyBorder="1" applyProtection="1">
      <protection hidden="1"/>
    </xf>
    <xf numFmtId="0" fontId="2" fillId="24" borderId="17" xfId="0" applyFont="1" applyFill="1" applyBorder="1" applyProtection="1">
      <protection hidden="1"/>
    </xf>
    <xf numFmtId="0" fontId="2" fillId="24" borderId="103" xfId="0" applyFont="1" applyFill="1" applyBorder="1" applyProtection="1">
      <protection hidden="1"/>
    </xf>
    <xf numFmtId="0" fontId="3" fillId="24" borderId="103" xfId="0" applyFont="1" applyFill="1" applyBorder="1" applyProtection="1">
      <protection hidden="1"/>
    </xf>
    <xf numFmtId="164" fontId="3" fillId="24" borderId="144" xfId="0" applyNumberFormat="1" applyFont="1" applyFill="1" applyBorder="1" applyAlignment="1" applyProtection="1">
      <alignment horizontal="center"/>
      <protection hidden="1"/>
    </xf>
    <xf numFmtId="0" fontId="45" fillId="24" borderId="144" xfId="39" applyFont="1" applyFill="1" applyBorder="1" applyAlignment="1" applyProtection="1">
      <alignment horizontal="center" vertical="center"/>
      <protection hidden="1"/>
    </xf>
    <xf numFmtId="0" fontId="45" fillId="24" borderId="100" xfId="39" applyFont="1" applyFill="1" applyBorder="1" applyProtection="1">
      <protection hidden="1"/>
    </xf>
    <xf numFmtId="0" fontId="46" fillId="24" borderId="101" xfId="39" applyFont="1" applyFill="1" applyBorder="1" applyProtection="1">
      <protection hidden="1"/>
    </xf>
    <xf numFmtId="0" fontId="42" fillId="24" borderId="10" xfId="39" applyFont="1" applyFill="1" applyBorder="1" applyProtection="1">
      <protection hidden="1"/>
    </xf>
    <xf numFmtId="0" fontId="46" fillId="24" borderId="0" xfId="39" applyFont="1" applyFill="1" applyBorder="1" applyProtection="1">
      <protection hidden="1"/>
    </xf>
    <xf numFmtId="6" fontId="46" fillId="24" borderId="115" xfId="39" applyNumberFormat="1" applyFont="1" applyFill="1" applyBorder="1" applyAlignment="1" applyProtection="1">
      <alignment horizontal="center"/>
      <protection hidden="1"/>
    </xf>
    <xf numFmtId="0" fontId="0" fillId="24" borderId="17" xfId="0" applyFill="1" applyBorder="1" applyProtection="1">
      <protection hidden="1"/>
    </xf>
    <xf numFmtId="0" fontId="45" fillId="24" borderId="0" xfId="39" applyFont="1" applyFill="1" applyProtection="1">
      <protection hidden="1"/>
    </xf>
    <xf numFmtId="6" fontId="45" fillId="24" borderId="0" xfId="39" applyNumberFormat="1" applyFont="1" applyFill="1" applyAlignment="1" applyProtection="1">
      <alignment horizontal="center"/>
      <protection hidden="1"/>
    </xf>
    <xf numFmtId="0" fontId="0" fillId="0" borderId="10" xfId="0" applyBorder="1" applyProtection="1">
      <protection hidden="1"/>
    </xf>
    <xf numFmtId="0" fontId="42" fillId="24" borderId="0" xfId="39" applyFont="1" applyFill="1" applyBorder="1" applyProtection="1">
      <protection hidden="1"/>
    </xf>
    <xf numFmtId="8" fontId="3" fillId="24" borderId="144" xfId="0" applyNumberFormat="1" applyFont="1" applyFill="1" applyBorder="1" applyAlignment="1" applyProtection="1">
      <alignment horizontal="center"/>
      <protection hidden="1"/>
    </xf>
    <xf numFmtId="164" fontId="29" fillId="24" borderId="0" xfId="39" applyNumberFormat="1" applyFont="1" applyFill="1" applyBorder="1" applyProtection="1">
      <protection hidden="1"/>
    </xf>
    <xf numFmtId="0" fontId="32" fillId="24" borderId="0" xfId="39" applyFont="1" applyFill="1" applyBorder="1" applyProtection="1">
      <protection hidden="1"/>
    </xf>
    <xf numFmtId="1" fontId="29" fillId="26" borderId="10" xfId="39" applyNumberFormat="1" applyFont="1" applyFill="1" applyBorder="1" applyAlignment="1" applyProtection="1">
      <alignment horizontal="center"/>
      <protection locked="0" hidden="1"/>
    </xf>
    <xf numFmtId="164" fontId="2" fillId="26" borderId="115" xfId="0" applyNumberFormat="1" applyFont="1" applyFill="1" applyBorder="1" applyAlignment="1" applyProtection="1">
      <alignment horizontal="center"/>
      <protection locked="0" hidden="1"/>
    </xf>
    <xf numFmtId="3" fontId="2" fillId="26" borderId="115" xfId="0" applyNumberFormat="1" applyFont="1" applyFill="1" applyBorder="1" applyAlignment="1" applyProtection="1">
      <alignment horizontal="center"/>
      <protection locked="0" hidden="1"/>
    </xf>
    <xf numFmtId="0" fontId="42" fillId="24" borderId="0" xfId="39" applyFont="1" applyFill="1" applyBorder="1" applyAlignment="1" applyProtection="1">
      <alignment horizontal="center"/>
      <protection hidden="1"/>
    </xf>
    <xf numFmtId="0" fontId="1" fillId="24" borderId="17" xfId="0" applyFont="1" applyFill="1" applyBorder="1" applyProtection="1">
      <protection hidden="1"/>
    </xf>
    <xf numFmtId="0" fontId="1" fillId="24" borderId="103" xfId="0" applyFont="1" applyFill="1" applyBorder="1" applyProtection="1">
      <protection hidden="1"/>
    </xf>
    <xf numFmtId="0" fontId="29" fillId="24" borderId="10" xfId="39" applyFont="1" applyFill="1" applyBorder="1" applyProtection="1">
      <protection hidden="1"/>
    </xf>
    <xf numFmtId="0" fontId="29" fillId="24" borderId="0" xfId="39" applyFont="1" applyFill="1" applyBorder="1" applyAlignment="1" applyProtection="1">
      <alignment horizontal="center"/>
      <protection hidden="1"/>
    </xf>
    <xf numFmtId="0" fontId="2" fillId="24" borderId="0" xfId="42" applyFont="1" applyFill="1" applyBorder="1" applyProtection="1">
      <protection hidden="1"/>
    </xf>
    <xf numFmtId="0" fontId="58" fillId="24" borderId="0" xfId="42" applyFont="1" applyFill="1" applyBorder="1" applyAlignment="1" applyProtection="1">
      <protection hidden="1"/>
    </xf>
    <xf numFmtId="0" fontId="2" fillId="0" borderId="0" xfId="42" applyFont="1" applyBorder="1" applyAlignment="1" applyProtection="1">
      <protection hidden="1"/>
    </xf>
    <xf numFmtId="0" fontId="2" fillId="24" borderId="0" xfId="42" applyFont="1" applyFill="1" applyBorder="1" applyAlignment="1" applyProtection="1">
      <protection hidden="1"/>
    </xf>
    <xf numFmtId="0" fontId="11" fillId="24" borderId="0" xfId="42" applyFont="1" applyFill="1" applyBorder="1" applyAlignment="1" applyProtection="1">
      <alignment wrapText="1"/>
      <protection hidden="1"/>
    </xf>
    <xf numFmtId="0" fontId="54" fillId="24" borderId="0" xfId="42" applyFont="1" applyFill="1" applyBorder="1" applyProtection="1">
      <protection hidden="1"/>
    </xf>
    <xf numFmtId="0" fontId="7" fillId="24" borderId="0" xfId="42" applyFont="1" applyFill="1" applyBorder="1" applyAlignment="1" applyProtection="1">
      <alignment wrapText="1"/>
      <protection hidden="1"/>
    </xf>
    <xf numFmtId="0" fontId="2" fillId="24" borderId="0" xfId="42" applyFont="1" applyFill="1" applyBorder="1" applyAlignment="1" applyProtection="1">
      <alignment horizontal="left" vertical="center" wrapText="1"/>
      <protection hidden="1"/>
    </xf>
    <xf numFmtId="0" fontId="7" fillId="24" borderId="0" xfId="42" applyFont="1" applyFill="1" applyBorder="1" applyAlignment="1" applyProtection="1">
      <alignment horizontal="left" vertical="center" wrapText="1"/>
      <protection hidden="1"/>
    </xf>
    <xf numFmtId="0" fontId="2" fillId="24" borderId="0" xfId="42" applyFont="1" applyFill="1" applyBorder="1" applyAlignment="1" applyProtection="1">
      <alignment vertical="center"/>
      <protection hidden="1"/>
    </xf>
    <xf numFmtId="0" fontId="7" fillId="26" borderId="0" xfId="42" applyFont="1" applyFill="1" applyBorder="1" applyAlignment="1" applyProtection="1">
      <alignment vertical="center" wrapText="1"/>
      <protection hidden="1"/>
    </xf>
    <xf numFmtId="0" fontId="2" fillId="24" borderId="0" xfId="42" applyFont="1" applyFill="1" applyBorder="1" applyAlignment="1" applyProtection="1">
      <alignment vertical="center" wrapText="1"/>
      <protection hidden="1"/>
    </xf>
    <xf numFmtId="0" fontId="2" fillId="24" borderId="0" xfId="42" applyFont="1" applyFill="1" applyBorder="1" applyAlignment="1" applyProtection="1">
      <alignment wrapText="1"/>
      <protection hidden="1"/>
    </xf>
    <xf numFmtId="0" fontId="9" fillId="24" borderId="0" xfId="42" applyFont="1" applyFill="1" applyBorder="1" applyAlignment="1" applyProtection="1">
      <alignment wrapText="1"/>
      <protection hidden="1"/>
    </xf>
    <xf numFmtId="0" fontId="9" fillId="24" borderId="0" xfId="42" applyFont="1" applyFill="1" applyBorder="1" applyAlignment="1" applyProtection="1">
      <alignment vertical="center" wrapText="1"/>
      <protection hidden="1"/>
    </xf>
    <xf numFmtId="0" fontId="62" fillId="24" borderId="0" xfId="35" applyFont="1" applyFill="1" applyBorder="1" applyAlignment="1" applyProtection="1">
      <protection hidden="1"/>
    </xf>
    <xf numFmtId="0" fontId="9" fillId="24" borderId="0" xfId="35" applyFont="1" applyFill="1" applyBorder="1" applyAlignment="1" applyProtection="1">
      <protection hidden="1"/>
    </xf>
    <xf numFmtId="0" fontId="7" fillId="24" borderId="0" xfId="35" applyFont="1" applyFill="1" applyBorder="1" applyAlignment="1" applyProtection="1">
      <alignment wrapText="1"/>
      <protection hidden="1"/>
    </xf>
    <xf numFmtId="0" fontId="2" fillId="24" borderId="0" xfId="35" applyFont="1" applyFill="1" applyBorder="1" applyAlignment="1" applyProtection="1">
      <protection hidden="1"/>
    </xf>
    <xf numFmtId="0" fontId="2" fillId="0" borderId="0" xfId="42" applyFont="1" applyBorder="1" applyProtection="1">
      <protection hidden="1"/>
    </xf>
    <xf numFmtId="0" fontId="65" fillId="24" borderId="0" xfId="35" applyFont="1" applyFill="1" applyBorder="1" applyAlignment="1" applyProtection="1">
      <alignment wrapText="1"/>
      <protection hidden="1"/>
    </xf>
    <xf numFmtId="0" fontId="65" fillId="24" borderId="0" xfId="35" applyFont="1" applyFill="1" applyBorder="1" applyAlignment="1" applyProtection="1">
      <protection hidden="1"/>
    </xf>
    <xf numFmtId="0" fontId="0" fillId="24" borderId="30" xfId="0" applyFill="1" applyBorder="1" applyAlignment="1" applyProtection="1">
      <alignment wrapText="1"/>
      <protection hidden="1"/>
    </xf>
    <xf numFmtId="3" fontId="2" fillId="26" borderId="10" xfId="0" applyNumberFormat="1" applyFont="1" applyFill="1" applyBorder="1" applyAlignment="1" applyProtection="1">
      <alignment horizontal="center"/>
      <protection locked="0" hidden="1"/>
    </xf>
    <xf numFmtId="3" fontId="46" fillId="26" borderId="13" xfId="0" applyNumberFormat="1" applyFont="1" applyFill="1" applyBorder="1" applyAlignment="1" applyProtection="1">
      <alignment horizontal="center"/>
      <protection locked="0" hidden="1"/>
    </xf>
    <xf numFmtId="3" fontId="2" fillId="26" borderId="13" xfId="0" applyNumberFormat="1" applyFont="1" applyFill="1" applyBorder="1" applyAlignment="1" applyProtection="1">
      <alignment horizontal="center" vertical="center"/>
      <protection locked="0" hidden="1"/>
    </xf>
    <xf numFmtId="9" fontId="2" fillId="26" borderId="145" xfId="0" applyNumberFormat="1" applyFont="1" applyFill="1" applyBorder="1" applyAlignment="1" applyProtection="1">
      <alignment horizontal="center" vertical="center" wrapText="1"/>
      <protection locked="0" hidden="1"/>
    </xf>
    <xf numFmtId="9" fontId="2" fillId="26" borderId="134" xfId="0" applyNumberFormat="1" applyFont="1" applyFill="1" applyBorder="1" applyAlignment="1" applyProtection="1">
      <alignment horizontal="center" vertical="center" wrapText="1"/>
      <protection locked="0" hidden="1"/>
    </xf>
    <xf numFmtId="9" fontId="2" fillId="26" borderId="136" xfId="0" applyNumberFormat="1" applyFont="1" applyFill="1" applyBorder="1" applyAlignment="1" applyProtection="1">
      <alignment horizontal="center" vertical="center" wrapText="1"/>
      <protection locked="0" hidden="1"/>
    </xf>
    <xf numFmtId="164" fontId="2" fillId="24" borderId="29" xfId="0" applyNumberFormat="1" applyFont="1" applyFill="1" applyBorder="1" applyAlignment="1">
      <alignment horizontal="center"/>
    </xf>
    <xf numFmtId="6" fontId="2" fillId="26" borderId="29" xfId="0" applyNumberFormat="1" applyFont="1" applyFill="1" applyBorder="1" applyAlignment="1" applyProtection="1">
      <alignment horizontal="center"/>
      <protection locked="0" hidden="1"/>
    </xf>
    <xf numFmtId="164" fontId="2" fillId="26" borderId="29" xfId="0" applyNumberFormat="1" applyFont="1" applyFill="1" applyBorder="1" applyAlignment="1" applyProtection="1">
      <alignment horizontal="center"/>
      <protection locked="0" hidden="1"/>
    </xf>
    <xf numFmtId="3" fontId="2" fillId="26" borderId="14" xfId="0" applyNumberFormat="1" applyFont="1" applyFill="1" applyBorder="1" applyAlignment="1" applyProtection="1">
      <alignment horizontal="center"/>
      <protection locked="0" hidden="1"/>
    </xf>
    <xf numFmtId="165" fontId="3" fillId="26" borderId="11" xfId="0" applyNumberFormat="1" applyFont="1" applyFill="1" applyBorder="1" applyAlignment="1" applyProtection="1">
      <alignment horizontal="center"/>
      <protection locked="0" hidden="1"/>
    </xf>
    <xf numFmtId="3" fontId="2" fillId="26" borderId="84" xfId="0" applyNumberFormat="1" applyFont="1" applyFill="1" applyBorder="1" applyAlignment="1" applyProtection="1">
      <alignment horizontal="center"/>
      <protection locked="0" hidden="1"/>
    </xf>
    <xf numFmtId="165" fontId="3" fillId="26" borderId="41" xfId="0" applyNumberFormat="1" applyFont="1" applyFill="1" applyBorder="1" applyAlignment="1" applyProtection="1">
      <alignment horizontal="center"/>
      <protection locked="0" hidden="1"/>
    </xf>
    <xf numFmtId="6" fontId="46" fillId="26" borderId="86" xfId="0" applyNumberFormat="1" applyFont="1" applyFill="1" applyBorder="1" applyAlignment="1" applyProtection="1">
      <alignment horizontal="center" vertical="top" wrapText="1"/>
      <protection locked="0" hidden="1"/>
    </xf>
    <xf numFmtId="0" fontId="46" fillId="24" borderId="11" xfId="0" applyFont="1" applyFill="1" applyBorder="1" applyAlignment="1" applyProtection="1">
      <alignment horizontal="center" vertical="top" wrapText="1"/>
      <protection locked="0" hidden="1"/>
    </xf>
    <xf numFmtId="6" fontId="46" fillId="26" borderId="11" xfId="0" applyNumberFormat="1" applyFont="1" applyFill="1" applyBorder="1" applyAlignment="1" applyProtection="1">
      <alignment horizontal="center" vertical="top" wrapText="1"/>
      <protection locked="0" hidden="1"/>
    </xf>
    <xf numFmtId="8" fontId="46" fillId="26" borderId="11" xfId="0" applyNumberFormat="1" applyFont="1" applyFill="1" applyBorder="1" applyAlignment="1" applyProtection="1">
      <alignment horizontal="center" vertical="top" wrapText="1"/>
      <protection locked="0" hidden="1"/>
    </xf>
    <xf numFmtId="6" fontId="46" fillId="26" borderId="41" xfId="0" applyNumberFormat="1" applyFont="1" applyFill="1" applyBorder="1" applyAlignment="1" applyProtection="1">
      <alignment horizontal="center" vertical="top" wrapText="1"/>
      <protection locked="0" hidden="1"/>
    </xf>
    <xf numFmtId="0" fontId="3" fillId="26" borderId="11" xfId="0" applyFont="1" applyFill="1" applyBorder="1" applyAlignment="1" applyProtection="1">
      <alignment horizontal="center"/>
      <protection locked="0" hidden="1"/>
    </xf>
    <xf numFmtId="0" fontId="2" fillId="26" borderId="47" xfId="0" applyFont="1" applyFill="1" applyBorder="1" applyAlignment="1" applyProtection="1">
      <alignment horizontal="center"/>
      <protection locked="0" hidden="1"/>
    </xf>
    <xf numFmtId="164" fontId="2" fillId="26" borderId="47" xfId="0" applyNumberFormat="1" applyFont="1" applyFill="1" applyBorder="1" applyAlignment="1" applyProtection="1">
      <alignment horizontal="center" vertical="center" wrapText="1"/>
      <protection locked="0" hidden="1"/>
    </xf>
    <xf numFmtId="164" fontId="2" fillId="26" borderId="47" xfId="0" applyNumberFormat="1" applyFont="1" applyFill="1" applyBorder="1" applyAlignment="1" applyProtection="1">
      <alignment horizontal="center"/>
      <protection locked="0" hidden="1"/>
    </xf>
    <xf numFmtId="3" fontId="2" fillId="26" borderId="47" xfId="0" applyNumberFormat="1" applyFont="1" applyFill="1" applyBorder="1" applyAlignment="1" applyProtection="1">
      <alignment horizontal="center" vertical="center"/>
      <protection locked="0" hidden="1"/>
    </xf>
    <xf numFmtId="164" fontId="2" fillId="26" borderId="47" xfId="0" applyNumberFormat="1" applyFont="1" applyFill="1" applyBorder="1" applyAlignment="1" applyProtection="1">
      <alignment horizontal="center" vertical="center"/>
      <protection locked="0" hidden="1"/>
    </xf>
    <xf numFmtId="3" fontId="2" fillId="26" borderId="47" xfId="0" applyNumberFormat="1" applyFont="1" applyFill="1" applyBorder="1" applyAlignment="1" applyProtection="1">
      <alignment horizontal="center"/>
      <protection locked="0" hidden="1"/>
    </xf>
    <xf numFmtId="168" fontId="2" fillId="26" borderId="47" xfId="0" applyNumberFormat="1" applyFont="1" applyFill="1" applyBorder="1" applyAlignment="1" applyProtection="1">
      <alignment horizontal="center"/>
      <protection locked="0" hidden="1"/>
    </xf>
    <xf numFmtId="9" fontId="2" fillId="26" borderId="47" xfId="0" applyNumberFormat="1" applyFont="1" applyFill="1" applyBorder="1" applyAlignment="1" applyProtection="1">
      <alignment horizontal="center"/>
      <protection locked="0" hidden="1"/>
    </xf>
    <xf numFmtId="0" fontId="3" fillId="26" borderId="68" xfId="0" applyFont="1" applyFill="1" applyBorder="1" applyAlignment="1" applyProtection="1">
      <alignment horizontal="center" vertical="center" wrapText="1"/>
      <protection locked="0" hidden="1"/>
    </xf>
    <xf numFmtId="6" fontId="2" fillId="26" borderId="47" xfId="0" applyNumberFormat="1" applyFont="1" applyFill="1" applyBorder="1" applyAlignment="1" applyProtection="1">
      <alignment horizontal="center"/>
      <protection locked="0" hidden="1"/>
    </xf>
    <xf numFmtId="6" fontId="46" fillId="26" borderId="47" xfId="0" applyNumberFormat="1" applyFont="1" applyFill="1" applyBorder="1" applyAlignment="1" applyProtection="1">
      <alignment horizontal="center" vertical="top" wrapText="1"/>
      <protection locked="0" hidden="1"/>
    </xf>
    <xf numFmtId="9" fontId="46" fillId="26" borderId="47" xfId="0" applyNumberFormat="1" applyFont="1" applyFill="1" applyBorder="1" applyAlignment="1" applyProtection="1">
      <alignment horizontal="center" vertical="top" wrapText="1"/>
      <protection locked="0" hidden="1"/>
    </xf>
    <xf numFmtId="165" fontId="2" fillId="26" borderId="47" xfId="0" applyNumberFormat="1" applyFont="1" applyFill="1" applyBorder="1" applyAlignment="1" applyProtection="1">
      <alignment horizontal="center"/>
      <protection locked="0" hidden="1"/>
    </xf>
    <xf numFmtId="6" fontId="3" fillId="26" borderId="51" xfId="0" applyNumberFormat="1" applyFont="1" applyFill="1" applyBorder="1" applyAlignment="1" applyProtection="1">
      <alignment horizontal="center"/>
      <protection locked="0" hidden="1"/>
    </xf>
    <xf numFmtId="6" fontId="2" fillId="26" borderId="56" xfId="0" applyNumberFormat="1" applyFont="1" applyFill="1" applyBorder="1" applyAlignment="1" applyProtection="1">
      <alignment horizontal="center"/>
      <protection locked="0" hidden="1"/>
    </xf>
    <xf numFmtId="6" fontId="3" fillId="26" borderId="146" xfId="0" applyNumberFormat="1" applyFont="1" applyFill="1" applyBorder="1" applyAlignment="1" applyProtection="1">
      <alignment horizontal="center"/>
      <protection locked="0" hidden="1"/>
    </xf>
    <xf numFmtId="164" fontId="3" fillId="26" borderId="51" xfId="0" applyNumberFormat="1" applyFont="1" applyFill="1" applyBorder="1" applyAlignment="1" applyProtection="1">
      <alignment horizontal="center" vertical="center" wrapText="1"/>
      <protection locked="0" hidden="1"/>
    </xf>
    <xf numFmtId="164" fontId="3" fillId="26" borderId="46" xfId="0" applyNumberFormat="1" applyFont="1" applyFill="1" applyBorder="1" applyAlignment="1" applyProtection="1">
      <alignment horizontal="center"/>
      <protection locked="0" hidden="1"/>
    </xf>
    <xf numFmtId="164" fontId="3" fillId="26" borderId="51" xfId="0" applyNumberFormat="1" applyFont="1" applyFill="1" applyBorder="1" applyAlignment="1" applyProtection="1">
      <alignment horizontal="center"/>
      <protection locked="0" hidden="1"/>
    </xf>
    <xf numFmtId="6" fontId="3" fillId="26" borderId="46" xfId="0" applyNumberFormat="1" applyFont="1" applyFill="1" applyBorder="1" applyAlignment="1" applyProtection="1">
      <alignment horizontal="center"/>
      <protection locked="0" hidden="1"/>
    </xf>
    <xf numFmtId="0" fontId="9" fillId="24" borderId="147" xfId="0" applyFont="1" applyFill="1" applyBorder="1"/>
    <xf numFmtId="6" fontId="9" fillId="24" borderId="53" xfId="0" applyNumberFormat="1" applyFont="1" applyFill="1" applyBorder="1" applyAlignment="1">
      <alignment horizontal="center"/>
    </xf>
    <xf numFmtId="6" fontId="45" fillId="26" borderId="0" xfId="39" applyNumberFormat="1" applyFont="1" applyFill="1" applyAlignment="1" applyProtection="1">
      <alignment horizontal="center"/>
      <protection locked="0" hidden="1"/>
    </xf>
    <xf numFmtId="0" fontId="3" fillId="24" borderId="140" xfId="0" applyFont="1" applyFill="1" applyBorder="1" applyAlignment="1">
      <alignment wrapText="1"/>
    </xf>
    <xf numFmtId="0" fontId="2" fillId="24" borderId="141" xfId="0" applyFont="1" applyFill="1" applyBorder="1" applyAlignment="1">
      <alignment horizontal="center"/>
    </xf>
    <xf numFmtId="0" fontId="2" fillId="24" borderId="148" xfId="0" applyFont="1" applyFill="1" applyBorder="1" applyAlignment="1">
      <alignment wrapText="1"/>
    </xf>
    <xf numFmtId="0" fontId="2" fillId="24" borderId="148" xfId="0" applyFont="1" applyFill="1" applyBorder="1"/>
    <xf numFmtId="0" fontId="1" fillId="24" borderId="148" xfId="0" applyFont="1" applyFill="1" applyBorder="1" applyAlignment="1">
      <alignment wrapText="1"/>
    </xf>
    <xf numFmtId="0" fontId="1" fillId="24" borderId="149" xfId="0" applyFont="1" applyFill="1" applyBorder="1" applyAlignment="1">
      <alignment wrapText="1"/>
    </xf>
    <xf numFmtId="167" fontId="2" fillId="26" borderId="115" xfId="0" applyNumberFormat="1" applyFont="1" applyFill="1" applyBorder="1" applyAlignment="1" applyProtection="1">
      <alignment horizontal="center"/>
      <protection locked="0" hidden="1"/>
    </xf>
    <xf numFmtId="8" fontId="2" fillId="26" borderId="115" xfId="0" applyNumberFormat="1" applyFont="1" applyFill="1" applyBorder="1" applyAlignment="1" applyProtection="1">
      <alignment horizontal="center"/>
      <protection locked="0" hidden="1"/>
    </xf>
    <xf numFmtId="9" fontId="2" fillId="26" borderId="115" xfId="0" applyNumberFormat="1" applyFont="1" applyFill="1" applyBorder="1" applyAlignment="1" applyProtection="1">
      <alignment horizontal="center"/>
      <protection locked="0" hidden="1"/>
    </xf>
    <xf numFmtId="0" fontId="2" fillId="26" borderId="115" xfId="0" applyFont="1" applyFill="1" applyBorder="1" applyAlignment="1" applyProtection="1">
      <alignment horizontal="center"/>
      <protection locked="0" hidden="1"/>
    </xf>
    <xf numFmtId="9" fontId="2" fillId="26" borderId="144" xfId="0" applyNumberFormat="1" applyFont="1" applyFill="1" applyBorder="1" applyAlignment="1" applyProtection="1">
      <alignment horizontal="center"/>
      <protection locked="0" hidden="1"/>
    </xf>
    <xf numFmtId="9" fontId="1" fillId="26" borderId="14" xfId="0" applyNumberFormat="1" applyFont="1" applyFill="1" applyBorder="1" applyAlignment="1" applyProtection="1">
      <alignment horizontal="center"/>
      <protection locked="0" hidden="1"/>
    </xf>
    <xf numFmtId="9" fontId="3" fillId="26" borderId="14" xfId="0" applyNumberFormat="1" applyFont="1" applyFill="1" applyBorder="1" applyAlignment="1" applyProtection="1">
      <alignment horizontal="center"/>
      <protection locked="0" hidden="1"/>
    </xf>
    <xf numFmtId="9" fontId="2" fillId="26" borderId="14" xfId="0" applyNumberFormat="1" applyFont="1" applyFill="1" applyBorder="1" applyAlignment="1" applyProtection="1">
      <alignment horizontal="center"/>
      <protection locked="0" hidden="1"/>
    </xf>
    <xf numFmtId="167" fontId="2" fillId="26" borderId="14" xfId="0" applyNumberFormat="1" applyFont="1" applyFill="1" applyBorder="1" applyAlignment="1" applyProtection="1">
      <alignment horizontal="center"/>
      <protection locked="0" hidden="1"/>
    </xf>
    <xf numFmtId="10" fontId="2" fillId="26" borderId="14" xfId="0" applyNumberFormat="1" applyFont="1" applyFill="1" applyBorder="1" applyAlignment="1" applyProtection="1">
      <alignment horizontal="center"/>
      <protection locked="0" hidden="1"/>
    </xf>
    <xf numFmtId="10" fontId="1" fillId="26" borderId="14" xfId="0" applyNumberFormat="1" applyFont="1" applyFill="1" applyBorder="1" applyAlignment="1" applyProtection="1">
      <alignment horizontal="center"/>
      <protection locked="0" hidden="1"/>
    </xf>
    <xf numFmtId="9" fontId="2" fillId="26" borderId="104" xfId="0" applyNumberFormat="1" applyFont="1" applyFill="1" applyBorder="1" applyAlignment="1" applyProtection="1">
      <alignment horizontal="center"/>
      <protection locked="0" hidden="1"/>
    </xf>
    <xf numFmtId="0" fontId="32" fillId="24" borderId="150" xfId="0" applyFont="1" applyFill="1" applyBorder="1" applyAlignment="1" applyProtection="1">
      <alignment horizontal="justify" vertical="top" wrapText="1"/>
      <protection hidden="1"/>
    </xf>
    <xf numFmtId="0" fontId="32" fillId="24" borderId="151" xfId="0" applyFont="1" applyFill="1" applyBorder="1" applyAlignment="1" applyProtection="1">
      <alignment horizontal="justify" vertical="top" wrapText="1"/>
      <protection hidden="1"/>
    </xf>
    <xf numFmtId="0" fontId="31" fillId="24" borderId="148" xfId="0" applyFont="1" applyFill="1" applyBorder="1" applyAlignment="1" applyProtection="1">
      <alignment horizontal="justify" wrapText="1"/>
      <protection hidden="1"/>
    </xf>
    <xf numFmtId="0" fontId="32" fillId="24" borderId="150" xfId="0" applyFont="1" applyFill="1" applyBorder="1" applyAlignment="1" applyProtection="1">
      <alignment horizontal="justify" wrapText="1"/>
      <protection hidden="1"/>
    </xf>
    <xf numFmtId="0" fontId="32" fillId="24" borderId="149" xfId="0" applyFont="1" applyFill="1" applyBorder="1" applyAlignment="1" applyProtection="1">
      <alignment horizontal="justify" wrapText="1"/>
      <protection hidden="1"/>
    </xf>
    <xf numFmtId="0" fontId="31" fillId="24" borderId="10" xfId="0" applyFont="1" applyFill="1" applyBorder="1" applyAlignment="1" applyProtection="1">
      <alignment horizontal="justify"/>
      <protection hidden="1"/>
    </xf>
    <xf numFmtId="0" fontId="0" fillId="24" borderId="124" xfId="0" applyFill="1" applyBorder="1" applyProtection="1">
      <protection hidden="1"/>
    </xf>
    <xf numFmtId="0" fontId="7" fillId="24" borderId="10" xfId="0" applyFont="1" applyFill="1" applyBorder="1" applyAlignment="1" applyProtection="1">
      <alignment horizontal="justify" vertical="top" wrapText="1"/>
      <protection hidden="1"/>
    </xf>
    <xf numFmtId="0" fontId="2" fillId="24" borderId="115" xfId="0" applyFont="1" applyFill="1" applyBorder="1" applyAlignment="1" applyProtection="1">
      <alignment horizontal="center" wrapText="1"/>
      <protection hidden="1"/>
    </xf>
    <xf numFmtId="0" fontId="7" fillId="24" borderId="10" xfId="0" applyFont="1" applyFill="1" applyBorder="1" applyAlignment="1" applyProtection="1">
      <alignment horizontal="justify" wrapText="1"/>
      <protection hidden="1"/>
    </xf>
    <xf numFmtId="0" fontId="9" fillId="24" borderId="10" xfId="0" applyFont="1" applyFill="1" applyBorder="1" applyAlignment="1" applyProtection="1">
      <alignment horizontal="justify" vertical="top" wrapText="1"/>
      <protection hidden="1"/>
    </xf>
    <xf numFmtId="0" fontId="31" fillId="24" borderId="115" xfId="0" applyFont="1" applyFill="1" applyBorder="1" applyAlignment="1" applyProtection="1">
      <alignment horizontal="center" vertical="top" wrapText="1"/>
      <protection hidden="1"/>
    </xf>
    <xf numFmtId="0" fontId="7" fillId="24" borderId="17" xfId="0" applyFont="1" applyFill="1" applyBorder="1" applyAlignment="1" applyProtection="1">
      <alignment horizontal="justify" vertical="top" wrapText="1"/>
      <protection hidden="1"/>
    </xf>
    <xf numFmtId="0" fontId="3" fillId="24" borderId="100" xfId="0" applyFont="1" applyFill="1" applyBorder="1" applyProtection="1">
      <protection hidden="1"/>
    </xf>
    <xf numFmtId="0" fontId="1" fillId="24" borderId="102" xfId="0" applyFont="1" applyFill="1" applyBorder="1" applyProtection="1">
      <protection hidden="1"/>
    </xf>
    <xf numFmtId="0" fontId="1" fillId="24" borderId="10" xfId="0" applyFont="1" applyFill="1" applyBorder="1" applyAlignment="1" applyProtection="1">
      <alignment wrapText="1"/>
      <protection hidden="1"/>
    </xf>
    <xf numFmtId="0" fontId="2" fillId="24" borderId="17" xfId="0" applyFont="1" applyFill="1" applyBorder="1" applyAlignment="1" applyProtection="1">
      <alignment wrapText="1"/>
      <protection hidden="1"/>
    </xf>
    <xf numFmtId="8" fontId="31" fillId="26" borderId="116" xfId="0" applyNumberFormat="1" applyFont="1" applyFill="1" applyBorder="1" applyAlignment="1" applyProtection="1">
      <alignment horizontal="center" wrapText="1"/>
      <protection locked="0" hidden="1"/>
    </xf>
    <xf numFmtId="8" fontId="32" fillId="26" borderId="151" xfId="0" applyNumberFormat="1" applyFont="1" applyFill="1" applyBorder="1" applyAlignment="1" applyProtection="1">
      <alignment horizontal="center" wrapText="1"/>
      <protection locked="0" hidden="1"/>
    </xf>
    <xf numFmtId="8" fontId="32" fillId="26" borderId="152" xfId="0" applyNumberFormat="1" applyFont="1" applyFill="1" applyBorder="1" applyAlignment="1" applyProtection="1">
      <alignment horizontal="center" wrapText="1"/>
      <protection locked="0" hidden="1"/>
    </xf>
    <xf numFmtId="8" fontId="2" fillId="26" borderId="115" xfId="0" applyNumberFormat="1" applyFont="1" applyFill="1" applyBorder="1" applyAlignment="1" applyProtection="1">
      <alignment horizontal="center" wrapText="1"/>
      <protection locked="0" hidden="1"/>
    </xf>
    <xf numFmtId="8" fontId="3" fillId="26" borderId="115" xfId="0" applyNumberFormat="1" applyFont="1" applyFill="1" applyBorder="1" applyAlignment="1" applyProtection="1">
      <alignment horizontal="center" wrapText="1"/>
      <protection locked="0" hidden="1"/>
    </xf>
    <xf numFmtId="8" fontId="2" fillId="26" borderId="144" xfId="0" applyNumberFormat="1" applyFont="1" applyFill="1" applyBorder="1" applyAlignment="1" applyProtection="1">
      <alignment horizontal="center" vertical="top" wrapText="1"/>
      <protection locked="0" hidden="1"/>
    </xf>
    <xf numFmtId="0" fontId="3" fillId="24" borderId="17" xfId="0" applyFont="1" applyFill="1" applyBorder="1" applyProtection="1">
      <protection hidden="1"/>
    </xf>
    <xf numFmtId="9" fontId="3" fillId="26" borderId="104" xfId="0" applyNumberFormat="1" applyFont="1" applyFill="1" applyBorder="1" applyAlignment="1" applyProtection="1">
      <alignment horizontal="center"/>
      <protection locked="0" hidden="1"/>
    </xf>
    <xf numFmtId="0" fontId="11" fillId="24" borderId="0" xfId="0" applyFont="1" applyFill="1" applyProtection="1">
      <protection hidden="1"/>
    </xf>
    <xf numFmtId="0" fontId="0" fillId="24" borderId="0" xfId="0" applyFill="1" applyAlignment="1" applyProtection="1">
      <alignment horizontal="center" vertical="center"/>
      <protection hidden="1"/>
    </xf>
    <xf numFmtId="0" fontId="46" fillId="24" borderId="153" xfId="40" applyFont="1" applyFill="1" applyBorder="1" applyAlignment="1" applyProtection="1">
      <alignment vertical="center" wrapText="1"/>
      <protection hidden="1"/>
    </xf>
    <xf numFmtId="0" fontId="46" fillId="24" borderId="36" xfId="40" applyFont="1" applyFill="1" applyBorder="1" applyAlignment="1" applyProtection="1">
      <alignment vertical="center" wrapText="1"/>
      <protection hidden="1"/>
    </xf>
    <xf numFmtId="0" fontId="1" fillId="24" borderId="37" xfId="0" applyFont="1" applyFill="1" applyBorder="1" applyAlignment="1" applyProtection="1">
      <alignment wrapText="1"/>
      <protection hidden="1"/>
    </xf>
    <xf numFmtId="0" fontId="1" fillId="24" borderId="0" xfId="0" applyFont="1" applyFill="1" applyAlignment="1" applyProtection="1">
      <alignment horizontal="center" vertical="center"/>
      <protection hidden="1"/>
    </xf>
    <xf numFmtId="0" fontId="1" fillId="24" borderId="29" xfId="0" applyFont="1" applyFill="1" applyBorder="1" applyProtection="1">
      <protection hidden="1"/>
    </xf>
    <xf numFmtId="0" fontId="3" fillId="24" borderId="154" xfId="0" applyFont="1" applyFill="1" applyBorder="1" applyAlignment="1" applyProtection="1">
      <alignment horizontal="center" vertical="center" wrapText="1"/>
      <protection hidden="1"/>
    </xf>
    <xf numFmtId="0" fontId="3" fillId="24" borderId="86" xfId="0" applyFont="1" applyFill="1" applyBorder="1" applyAlignment="1" applyProtection="1">
      <alignment horizontal="center" vertical="center" wrapText="1"/>
      <protection hidden="1"/>
    </xf>
    <xf numFmtId="0" fontId="3" fillId="24" borderId="18" xfId="0" applyFont="1" applyFill="1" applyBorder="1" applyAlignment="1" applyProtection="1">
      <alignment horizontal="center" vertical="center" wrapText="1"/>
      <protection hidden="1"/>
    </xf>
    <xf numFmtId="0" fontId="1" fillId="24" borderId="36" xfId="0" applyFont="1" applyFill="1" applyBorder="1" applyProtection="1">
      <protection hidden="1"/>
    </xf>
    <xf numFmtId="165" fontId="1" fillId="24" borderId="16" xfId="0" applyNumberFormat="1" applyFont="1" applyFill="1" applyBorder="1" applyAlignment="1" applyProtection="1">
      <alignment horizontal="center"/>
      <protection hidden="1"/>
    </xf>
    <xf numFmtId="165" fontId="1" fillId="24" borderId="11" xfId="0" applyNumberFormat="1" applyFont="1" applyFill="1" applyBorder="1" applyAlignment="1" applyProtection="1">
      <alignment horizontal="center"/>
      <protection hidden="1"/>
    </xf>
    <xf numFmtId="0" fontId="3" fillId="24" borderId="121" xfId="0" applyFont="1" applyFill="1" applyBorder="1" applyProtection="1">
      <protection hidden="1"/>
    </xf>
    <xf numFmtId="167" fontId="3" fillId="24" borderId="112" xfId="0" applyNumberFormat="1" applyFont="1" applyFill="1" applyBorder="1" applyAlignment="1" applyProtection="1">
      <alignment horizontal="center"/>
      <protection hidden="1"/>
    </xf>
    <xf numFmtId="0" fontId="1" fillId="24" borderId="119" xfId="0" applyFont="1" applyFill="1" applyBorder="1" applyAlignment="1" applyProtection="1">
      <alignment horizontal="center" vertical="center"/>
      <protection hidden="1"/>
    </xf>
    <xf numFmtId="0" fontId="2" fillId="24" borderId="23" xfId="0" applyFont="1" applyFill="1" applyBorder="1" applyAlignment="1" applyProtection="1">
      <alignment vertical="center" wrapText="1"/>
      <protection hidden="1"/>
    </xf>
    <xf numFmtId="0" fontId="1" fillId="24" borderId="104" xfId="0" applyFont="1" applyFill="1" applyBorder="1" applyProtection="1">
      <protection hidden="1"/>
    </xf>
    <xf numFmtId="3" fontId="1" fillId="26" borderId="145" xfId="0" applyNumberFormat="1" applyFont="1" applyFill="1" applyBorder="1" applyAlignment="1" applyProtection="1">
      <alignment horizontal="center" vertical="center"/>
      <protection locked="0" hidden="1"/>
    </xf>
    <xf numFmtId="167" fontId="46" fillId="26" borderId="134" xfId="40" applyNumberFormat="1" applyFont="1" applyFill="1" applyBorder="1" applyAlignment="1" applyProtection="1">
      <alignment horizontal="center" vertical="center"/>
      <protection locked="0" hidden="1"/>
    </xf>
    <xf numFmtId="9" fontId="1" fillId="26" borderId="134" xfId="0" applyNumberFormat="1" applyFont="1" applyFill="1" applyBorder="1" applyAlignment="1" applyProtection="1">
      <alignment horizontal="center" vertical="center"/>
      <protection locked="0" hidden="1"/>
    </xf>
    <xf numFmtId="9" fontId="1" fillId="26" borderId="136" xfId="0" applyNumberFormat="1" applyFont="1" applyFill="1" applyBorder="1" applyAlignment="1" applyProtection="1">
      <alignment horizontal="center" vertical="center"/>
      <protection locked="0" hidden="1"/>
    </xf>
    <xf numFmtId="167" fontId="1" fillId="26" borderId="13" xfId="0" applyNumberFormat="1" applyFont="1" applyFill="1" applyBorder="1" applyAlignment="1" applyProtection="1">
      <alignment horizontal="center" vertical="center"/>
      <protection locked="0" hidden="1"/>
    </xf>
    <xf numFmtId="165" fontId="1" fillId="26" borderId="16" xfId="0" applyNumberFormat="1" applyFont="1" applyFill="1" applyBorder="1" applyAlignment="1" applyProtection="1">
      <alignment horizontal="center" vertical="center"/>
      <protection locked="0" hidden="1"/>
    </xf>
    <xf numFmtId="9" fontId="3" fillId="26" borderId="18" xfId="0" applyNumberFormat="1" applyFont="1" applyFill="1" applyBorder="1" applyAlignment="1" applyProtection="1">
      <alignment horizontal="center" vertical="center" wrapText="1"/>
      <protection locked="0" hidden="1"/>
    </xf>
    <xf numFmtId="9" fontId="3" fillId="26" borderId="155" xfId="0" applyNumberFormat="1" applyFont="1" applyFill="1" applyBorder="1" applyAlignment="1" applyProtection="1">
      <alignment horizontal="center" vertical="center" wrapText="1"/>
      <protection locked="0" hidden="1"/>
    </xf>
    <xf numFmtId="165" fontId="1" fillId="26" borderId="16" xfId="0" applyNumberFormat="1" applyFont="1" applyFill="1" applyBorder="1" applyAlignment="1" applyProtection="1">
      <alignment horizontal="center"/>
      <protection locked="0" hidden="1"/>
    </xf>
    <xf numFmtId="165" fontId="1" fillId="26" borderId="11" xfId="0" applyNumberFormat="1" applyFont="1" applyFill="1" applyBorder="1" applyAlignment="1" applyProtection="1">
      <alignment horizontal="center"/>
      <protection locked="0" hidden="1"/>
    </xf>
    <xf numFmtId="165" fontId="3" fillId="26" borderId="119" xfId="0" applyNumberFormat="1" applyFont="1" applyFill="1" applyBorder="1" applyAlignment="1" applyProtection="1">
      <alignment horizontal="center" vertical="center"/>
      <protection locked="0" hidden="1"/>
    </xf>
    <xf numFmtId="8" fontId="3" fillId="26" borderId="119" xfId="0" applyNumberFormat="1" applyFont="1" applyFill="1" applyBorder="1" applyAlignment="1" applyProtection="1">
      <alignment horizontal="center"/>
      <protection locked="0" hidden="1"/>
    </xf>
    <xf numFmtId="8" fontId="3" fillId="26" borderId="44" xfId="0" applyNumberFormat="1" applyFont="1" applyFill="1" applyBorder="1" applyAlignment="1" applyProtection="1">
      <alignment horizontal="center"/>
      <protection locked="0" hidden="1"/>
    </xf>
    <xf numFmtId="9" fontId="1" fillId="26" borderId="23" xfId="0" applyNumberFormat="1" applyFont="1" applyFill="1" applyBorder="1" applyAlignment="1" applyProtection="1">
      <alignment horizontal="center" vertical="center"/>
      <protection locked="0" hidden="1"/>
    </xf>
    <xf numFmtId="6" fontId="1" fillId="26" borderId="23" xfId="0" applyNumberFormat="1" applyFont="1" applyFill="1" applyBorder="1" applyAlignment="1" applyProtection="1">
      <alignment horizontal="center" vertical="center"/>
      <protection locked="0" hidden="1"/>
    </xf>
    <xf numFmtId="0" fontId="3" fillId="24" borderId="23" xfId="0" applyFont="1" applyFill="1" applyBorder="1" applyAlignment="1" applyProtection="1">
      <alignment vertical="center" wrapText="1"/>
      <protection hidden="1"/>
    </xf>
    <xf numFmtId="0" fontId="3" fillId="24" borderId="20" xfId="0" applyFont="1" applyFill="1" applyBorder="1" applyAlignment="1" applyProtection="1">
      <alignment horizontal="center" vertical="center" wrapText="1"/>
      <protection hidden="1"/>
    </xf>
    <xf numFmtId="0" fontId="3" fillId="24" borderId="22" xfId="0" applyFont="1" applyFill="1" applyBorder="1" applyAlignment="1" applyProtection="1">
      <alignment horizontal="center" vertical="center" wrapText="1"/>
      <protection hidden="1"/>
    </xf>
    <xf numFmtId="0" fontId="3" fillId="24" borderId="23" xfId="0" applyFont="1" applyFill="1" applyBorder="1" applyAlignment="1" applyProtection="1">
      <alignment horizontal="center" vertical="center" wrapText="1"/>
      <protection hidden="1"/>
    </xf>
    <xf numFmtId="0" fontId="2" fillId="24" borderId="16" xfId="0" applyFont="1" applyFill="1" applyBorder="1" applyProtection="1">
      <protection hidden="1"/>
    </xf>
    <xf numFmtId="10" fontId="2" fillId="24" borderId="14" xfId="0" applyNumberFormat="1" applyFont="1" applyFill="1" applyBorder="1" applyAlignment="1" applyProtection="1">
      <alignment horizontal="center"/>
      <protection hidden="1"/>
    </xf>
    <xf numFmtId="0" fontId="3" fillId="24" borderId="23" xfId="0" applyFont="1" applyFill="1" applyBorder="1" applyProtection="1">
      <protection hidden="1"/>
    </xf>
    <xf numFmtId="3" fontId="3" fillId="24" borderId="20" xfId="0" applyNumberFormat="1" applyFont="1" applyFill="1" applyBorder="1" applyAlignment="1" applyProtection="1">
      <alignment horizontal="center"/>
      <protection hidden="1"/>
    </xf>
    <xf numFmtId="10" fontId="3" fillId="24" borderId="22" xfId="0" applyNumberFormat="1" applyFont="1" applyFill="1" applyBorder="1" applyProtection="1">
      <protection hidden="1"/>
    </xf>
    <xf numFmtId="3" fontId="3" fillId="24" borderId="23" xfId="0" applyNumberFormat="1" applyFont="1" applyFill="1" applyBorder="1" applyAlignment="1" applyProtection="1">
      <alignment horizontal="center"/>
      <protection hidden="1"/>
    </xf>
    <xf numFmtId="0" fontId="2" fillId="24" borderId="52" xfId="0" applyFont="1" applyFill="1" applyBorder="1" applyProtection="1">
      <protection hidden="1"/>
    </xf>
    <xf numFmtId="0" fontId="1" fillId="24" borderId="0" xfId="0" applyFont="1" applyFill="1" applyBorder="1" applyAlignment="1" applyProtection="1">
      <alignment horizontal="left"/>
      <protection hidden="1"/>
    </xf>
    <xf numFmtId="3" fontId="1" fillId="24" borderId="0" xfId="28" applyNumberFormat="1" applyFont="1" applyFill="1" applyBorder="1" applyAlignment="1" applyProtection="1">
      <alignment horizontal="center"/>
      <protection hidden="1"/>
    </xf>
    <xf numFmtId="43" fontId="1" fillId="24" borderId="0" xfId="28" applyFont="1" applyFill="1" applyBorder="1" applyAlignment="1" applyProtection="1">
      <alignment horizontal="center"/>
      <protection hidden="1"/>
    </xf>
    <xf numFmtId="0" fontId="2" fillId="24" borderId="11" xfId="0" applyFont="1" applyFill="1" applyBorder="1" applyProtection="1">
      <protection hidden="1"/>
    </xf>
    <xf numFmtId="3" fontId="1" fillId="24" borderId="0" xfId="28" applyNumberFormat="1" applyFont="1" applyFill="1" applyAlignment="1" applyProtection="1">
      <alignment horizontal="center"/>
      <protection hidden="1"/>
    </xf>
    <xf numFmtId="43" fontId="1" fillId="24" borderId="0" xfId="28" applyFont="1" applyFill="1" applyAlignment="1" applyProtection="1">
      <alignment horizontal="center"/>
      <protection hidden="1"/>
    </xf>
    <xf numFmtId="0" fontId="3" fillId="24" borderId="11" xfId="0" applyFont="1" applyFill="1" applyBorder="1" applyProtection="1">
      <protection hidden="1"/>
    </xf>
    <xf numFmtId="0" fontId="2" fillId="24" borderId="27" xfId="0" applyFont="1" applyFill="1" applyBorder="1" applyProtection="1">
      <protection hidden="1"/>
    </xf>
    <xf numFmtId="0" fontId="3" fillId="24" borderId="25" xfId="0" applyFont="1" applyFill="1" applyBorder="1" applyAlignment="1" applyProtection="1">
      <alignment vertical="center" wrapText="1"/>
      <protection hidden="1"/>
    </xf>
    <xf numFmtId="0" fontId="3" fillId="24" borderId="24" xfId="0" applyFont="1" applyFill="1" applyBorder="1" applyAlignment="1" applyProtection="1">
      <alignment vertical="center" wrapText="1"/>
      <protection hidden="1"/>
    </xf>
    <xf numFmtId="0" fontId="1" fillId="24" borderId="48" xfId="0" applyFont="1" applyFill="1" applyBorder="1" applyProtection="1">
      <protection hidden="1"/>
    </xf>
    <xf numFmtId="0" fontId="1" fillId="24" borderId="100" xfId="0" applyFont="1" applyFill="1" applyBorder="1" applyProtection="1">
      <protection hidden="1"/>
    </xf>
    <xf numFmtId="164" fontId="52" fillId="24" borderId="0" xfId="0" applyNumberFormat="1" applyFont="1" applyFill="1" applyProtection="1">
      <protection hidden="1"/>
    </xf>
    <xf numFmtId="0" fontId="1" fillId="0" borderId="27" xfId="0" applyFont="1" applyBorder="1" applyProtection="1">
      <protection hidden="1"/>
    </xf>
    <xf numFmtId="0" fontId="1" fillId="24" borderId="28" xfId="0" applyFont="1" applyFill="1" applyBorder="1" applyProtection="1">
      <protection hidden="1"/>
    </xf>
    <xf numFmtId="3" fontId="1" fillId="24" borderId="0" xfId="0" applyNumberFormat="1" applyFont="1" applyFill="1" applyProtection="1">
      <protection hidden="1"/>
    </xf>
    <xf numFmtId="0" fontId="1" fillId="0" borderId="0" xfId="0" applyFont="1" applyProtection="1">
      <protection hidden="1"/>
    </xf>
    <xf numFmtId="0" fontId="3" fillId="24" borderId="156" xfId="0" applyFont="1" applyFill="1" applyBorder="1" applyAlignment="1" applyProtection="1">
      <alignment vertical="center" wrapText="1"/>
      <protection hidden="1"/>
    </xf>
    <xf numFmtId="0" fontId="3" fillId="24" borderId="24" xfId="0" applyFont="1" applyFill="1" applyBorder="1" applyAlignment="1" applyProtection="1">
      <alignment horizontal="center" vertical="center" wrapText="1"/>
      <protection hidden="1"/>
    </xf>
    <xf numFmtId="0" fontId="3" fillId="24" borderId="26" xfId="0" applyFont="1" applyFill="1" applyBorder="1" applyAlignment="1" applyProtection="1">
      <alignment horizontal="center" vertical="center" wrapText="1"/>
      <protection hidden="1"/>
    </xf>
    <xf numFmtId="0" fontId="1" fillId="24" borderId="31" xfId="0" applyFont="1" applyFill="1" applyBorder="1" applyProtection="1">
      <protection hidden="1"/>
    </xf>
    <xf numFmtId="0" fontId="1" fillId="24" borderId="13" xfId="0" applyFont="1" applyFill="1" applyBorder="1" applyProtection="1">
      <protection hidden="1"/>
    </xf>
    <xf numFmtId="164" fontId="51" fillId="24" borderId="0" xfId="0" applyNumberFormat="1" applyFont="1" applyFill="1" applyBorder="1" applyProtection="1">
      <protection hidden="1"/>
    </xf>
    <xf numFmtId="0" fontId="3" fillId="24" borderId="25" xfId="0" applyFont="1" applyFill="1" applyBorder="1" applyProtection="1">
      <protection hidden="1"/>
    </xf>
    <xf numFmtId="0" fontId="3" fillId="24" borderId="24" xfId="0" applyFont="1" applyFill="1" applyBorder="1" applyAlignment="1" applyProtection="1">
      <alignment horizontal="center" wrapText="1"/>
      <protection hidden="1"/>
    </xf>
    <xf numFmtId="0" fontId="3" fillId="24" borderId="24" xfId="0" applyFont="1" applyFill="1" applyBorder="1" applyAlignment="1" applyProtection="1">
      <alignment wrapText="1"/>
      <protection hidden="1"/>
    </xf>
    <xf numFmtId="0" fontId="1" fillId="24" borderId="45" xfId="0" applyFont="1" applyFill="1" applyBorder="1" applyProtection="1">
      <protection hidden="1"/>
    </xf>
    <xf numFmtId="0" fontId="1" fillId="24" borderId="32" xfId="0" applyFont="1" applyFill="1" applyBorder="1" applyProtection="1">
      <protection hidden="1"/>
    </xf>
    <xf numFmtId="0" fontId="3" fillId="24" borderId="147" xfId="0" applyFont="1" applyFill="1" applyBorder="1" applyAlignment="1" applyProtection="1">
      <alignment vertical="center" wrapText="1"/>
      <protection hidden="1"/>
    </xf>
    <xf numFmtId="0" fontId="3" fillId="24" borderId="157" xfId="0" applyFont="1" applyFill="1" applyBorder="1" applyAlignment="1" applyProtection="1">
      <alignment vertical="center" wrapText="1"/>
      <protection hidden="1"/>
    </xf>
    <xf numFmtId="0" fontId="2" fillId="24" borderId="31" xfId="0" applyFont="1" applyFill="1" applyBorder="1" applyProtection="1">
      <protection hidden="1"/>
    </xf>
    <xf numFmtId="165" fontId="1" fillId="24" borderId="0" xfId="0" applyNumberFormat="1" applyFont="1" applyFill="1" applyProtection="1">
      <protection hidden="1"/>
    </xf>
    <xf numFmtId="165" fontId="0" fillId="24" borderId="0" xfId="0" applyNumberFormat="1" applyFill="1" applyProtection="1">
      <protection hidden="1"/>
    </xf>
    <xf numFmtId="3" fontId="2" fillId="26" borderId="16" xfId="0" applyNumberFormat="1" applyFont="1" applyFill="1" applyBorder="1" applyAlignment="1" applyProtection="1">
      <alignment horizontal="center"/>
      <protection locked="0" hidden="1"/>
    </xf>
    <xf numFmtId="6" fontId="2" fillId="26" borderId="11" xfId="0" applyNumberFormat="1" applyFont="1" applyFill="1" applyBorder="1" applyAlignment="1" applyProtection="1">
      <alignment horizontal="center"/>
      <protection locked="0" hidden="1"/>
    </xf>
    <xf numFmtId="6" fontId="2" fillId="26" borderId="41" xfId="0" applyNumberFormat="1" applyFont="1" applyFill="1" applyBorder="1" applyAlignment="1" applyProtection="1">
      <alignment horizontal="center"/>
      <protection locked="0" hidden="1"/>
    </xf>
    <xf numFmtId="6" fontId="2" fillId="26" borderId="86" xfId="0" applyNumberFormat="1" applyFont="1" applyFill="1" applyBorder="1" applyAlignment="1" applyProtection="1">
      <alignment horizontal="center"/>
      <protection locked="0" hidden="1"/>
    </xf>
    <xf numFmtId="5" fontId="2" fillId="26" borderId="11" xfId="0" applyNumberFormat="1" applyFont="1" applyFill="1" applyBorder="1" applyAlignment="1" applyProtection="1">
      <alignment horizontal="center"/>
      <protection locked="0" hidden="1"/>
    </xf>
    <xf numFmtId="6" fontId="1" fillId="26" borderId="11" xfId="28" applyNumberFormat="1" applyFont="1" applyFill="1" applyBorder="1" applyAlignment="1" applyProtection="1">
      <alignment horizontal="center"/>
      <protection locked="0" hidden="1"/>
    </xf>
    <xf numFmtId="0" fontId="1" fillId="24" borderId="101" xfId="0" applyFont="1" applyFill="1" applyBorder="1" applyAlignment="1" applyProtection="1">
      <alignment horizontal="center"/>
      <protection hidden="1"/>
    </xf>
    <xf numFmtId="164" fontId="1" fillId="26" borderId="101" xfId="0" applyNumberFormat="1" applyFont="1" applyFill="1" applyBorder="1" applyAlignment="1" applyProtection="1">
      <alignment horizontal="center"/>
      <protection locked="0" hidden="1"/>
    </xf>
    <xf numFmtId="3" fontId="1" fillId="26" borderId="102" xfId="0" applyNumberFormat="1" applyFont="1" applyFill="1" applyBorder="1" applyAlignment="1" applyProtection="1">
      <alignment horizontal="center"/>
      <protection locked="0" hidden="1"/>
    </xf>
    <xf numFmtId="165" fontId="3" fillId="26" borderId="158" xfId="0" applyNumberFormat="1" applyFont="1" applyFill="1" applyBorder="1" applyAlignment="1" applyProtection="1">
      <alignment horizontal="center"/>
      <protection locked="0" hidden="1"/>
    </xf>
    <xf numFmtId="3" fontId="1" fillId="26" borderId="14" xfId="0" applyNumberFormat="1" applyFont="1" applyFill="1" applyBorder="1" applyAlignment="1" applyProtection="1">
      <alignment horizontal="center"/>
      <protection locked="0" hidden="1"/>
    </xf>
    <xf numFmtId="6" fontId="1" fillId="26" borderId="29" xfId="0" applyNumberFormat="1" applyFont="1" applyFill="1" applyBorder="1" applyAlignment="1" applyProtection="1">
      <alignment horizontal="center"/>
      <protection locked="0" hidden="1"/>
    </xf>
    <xf numFmtId="164" fontId="1" fillId="26" borderId="29" xfId="0" applyNumberFormat="1" applyFont="1" applyFill="1" applyBorder="1" applyAlignment="1" applyProtection="1">
      <alignment horizontal="center"/>
      <protection locked="0" hidden="1"/>
    </xf>
    <xf numFmtId="3" fontId="1" fillId="26" borderId="84" xfId="0" applyNumberFormat="1" applyFont="1" applyFill="1" applyBorder="1" applyAlignment="1" applyProtection="1">
      <alignment horizontal="center"/>
      <protection locked="0" hidden="1"/>
    </xf>
    <xf numFmtId="165" fontId="1" fillId="26" borderId="0" xfId="0" applyNumberFormat="1" applyFont="1" applyFill="1" applyBorder="1" applyAlignment="1" applyProtection="1">
      <alignment horizontal="center"/>
      <protection locked="0" hidden="1"/>
    </xf>
    <xf numFmtId="164" fontId="51" fillId="24" borderId="10" xfId="0" applyNumberFormat="1" applyFont="1" applyFill="1" applyBorder="1" applyAlignment="1" applyProtection="1">
      <alignment horizontal="center"/>
      <protection hidden="1"/>
    </xf>
    <xf numFmtId="0" fontId="3" fillId="24" borderId="10" xfId="0" applyFont="1" applyFill="1" applyBorder="1" applyAlignment="1" applyProtection="1">
      <alignment horizontal="center" vertical="center" wrapText="1"/>
      <protection hidden="1"/>
    </xf>
    <xf numFmtId="1" fontId="1" fillId="26" borderId="0" xfId="0" applyNumberFormat="1" applyFont="1" applyFill="1" applyProtection="1">
      <protection locked="0" hidden="1"/>
    </xf>
    <xf numFmtId="0" fontId="1" fillId="24" borderId="16" xfId="0" applyFont="1" applyFill="1" applyBorder="1" applyProtection="1">
      <protection hidden="1"/>
    </xf>
    <xf numFmtId="0" fontId="1" fillId="24" borderId="18" xfId="0" applyFont="1" applyFill="1" applyBorder="1" applyProtection="1">
      <protection hidden="1"/>
    </xf>
    <xf numFmtId="0" fontId="3" fillId="24" borderId="23" xfId="0" applyFont="1" applyFill="1" applyBorder="1" applyAlignment="1" applyProtection="1">
      <alignment vertical="center"/>
      <protection hidden="1"/>
    </xf>
    <xf numFmtId="0" fontId="1" fillId="26" borderId="100" xfId="0" applyFont="1" applyFill="1" applyBorder="1" applyAlignment="1" applyProtection="1">
      <alignment horizontal="center"/>
      <protection locked="0" hidden="1"/>
    </xf>
    <xf numFmtId="165" fontId="1" fillId="26" borderId="101" xfId="0" applyNumberFormat="1" applyFont="1" applyFill="1" applyBorder="1" applyAlignment="1" applyProtection="1">
      <alignment horizontal="center"/>
      <protection locked="0" hidden="1"/>
    </xf>
    <xf numFmtId="0" fontId="1" fillId="26" borderId="10" xfId="0" applyFont="1" applyFill="1" applyBorder="1" applyAlignment="1" applyProtection="1">
      <alignment horizontal="center"/>
      <protection locked="0" hidden="1"/>
    </xf>
    <xf numFmtId="0" fontId="1" fillId="26" borderId="17" xfId="0" applyFont="1" applyFill="1" applyBorder="1" applyAlignment="1" applyProtection="1">
      <alignment horizontal="center"/>
      <protection locked="0" hidden="1"/>
    </xf>
    <xf numFmtId="165" fontId="1" fillId="26" borderId="103" xfId="0" applyNumberFormat="1" applyFont="1" applyFill="1" applyBorder="1" applyAlignment="1" applyProtection="1">
      <alignment horizontal="center"/>
      <protection locked="0" hidden="1"/>
    </xf>
    <xf numFmtId="3" fontId="1" fillId="26" borderId="104" xfId="0" applyNumberFormat="1" applyFont="1" applyFill="1" applyBorder="1" applyAlignment="1" applyProtection="1">
      <alignment horizontal="center"/>
      <protection locked="0" hidden="1"/>
    </xf>
    <xf numFmtId="0" fontId="3" fillId="24" borderId="10" xfId="0" applyFont="1" applyFill="1" applyBorder="1" applyAlignment="1" applyProtection="1">
      <alignment horizontal="center" wrapText="1"/>
      <protection hidden="1"/>
    </xf>
    <xf numFmtId="0" fontId="1" fillId="24" borderId="10" xfId="0" applyFont="1" applyFill="1" applyBorder="1" applyAlignment="1" applyProtection="1">
      <alignment horizontal="center"/>
      <protection hidden="1"/>
    </xf>
    <xf numFmtId="165" fontId="1" fillId="24" borderId="10" xfId="0" applyNumberFormat="1" applyFont="1" applyFill="1" applyBorder="1" applyAlignment="1" applyProtection="1">
      <alignment horizontal="center"/>
      <protection hidden="1"/>
    </xf>
    <xf numFmtId="0" fontId="1" fillId="26" borderId="20" xfId="0" applyFont="1" applyFill="1" applyBorder="1" applyAlignment="1" applyProtection="1">
      <alignment horizontal="center"/>
      <protection locked="0" hidden="1"/>
    </xf>
    <xf numFmtId="0" fontId="3" fillId="24" borderId="10" xfId="0" applyFont="1" applyFill="1" applyBorder="1" applyAlignment="1" applyProtection="1">
      <alignment vertical="center" wrapText="1"/>
      <protection hidden="1"/>
    </xf>
    <xf numFmtId="0" fontId="9" fillId="24" borderId="10" xfId="0" applyFont="1" applyFill="1" applyBorder="1" applyProtection="1">
      <protection hidden="1"/>
    </xf>
    <xf numFmtId="0" fontId="3" fillId="24" borderId="157" xfId="0" applyFont="1" applyFill="1" applyBorder="1" applyAlignment="1" applyProtection="1">
      <alignment horizontal="center" vertical="center" wrapText="1"/>
      <protection hidden="1"/>
    </xf>
    <xf numFmtId="0" fontId="3" fillId="24" borderId="159" xfId="0" applyFont="1" applyFill="1" applyBorder="1" applyProtection="1">
      <protection hidden="1"/>
    </xf>
    <xf numFmtId="0" fontId="3" fillId="24" borderId="33" xfId="0" applyFont="1" applyFill="1" applyBorder="1" applyAlignment="1" applyProtection="1">
      <alignment horizontal="center" wrapText="1"/>
      <protection hidden="1"/>
    </xf>
    <xf numFmtId="0" fontId="2" fillId="26" borderId="16" xfId="0" applyFont="1" applyFill="1" applyBorder="1" applyAlignment="1" applyProtection="1">
      <alignment horizontal="center"/>
      <protection locked="0" hidden="1"/>
    </xf>
    <xf numFmtId="167" fontId="2" fillId="26" borderId="16" xfId="0" applyNumberFormat="1" applyFont="1" applyFill="1" applyBorder="1" applyAlignment="1" applyProtection="1">
      <alignment horizontal="center"/>
      <protection locked="0" hidden="1"/>
    </xf>
    <xf numFmtId="9" fontId="2" fillId="26" borderId="18" xfId="0" applyNumberFormat="1" applyFont="1" applyFill="1" applyBorder="1" applyAlignment="1" applyProtection="1">
      <alignment horizontal="center"/>
      <protection locked="0" hidden="1"/>
    </xf>
    <xf numFmtId="0" fontId="9" fillId="24" borderId="15" xfId="0" applyFont="1" applyFill="1" applyBorder="1" applyAlignment="1" applyProtection="1">
      <alignment vertical="center" wrapText="1"/>
      <protection hidden="1"/>
    </xf>
    <xf numFmtId="0" fontId="9" fillId="24" borderId="101" xfId="0" applyFont="1" applyFill="1" applyBorder="1" applyAlignment="1" applyProtection="1">
      <alignment horizontal="center" wrapText="1"/>
      <protection hidden="1"/>
    </xf>
    <xf numFmtId="0" fontId="9" fillId="24" borderId="102" xfId="0" applyFont="1" applyFill="1" applyBorder="1" applyAlignment="1" applyProtection="1">
      <alignment horizontal="center" wrapText="1"/>
      <protection hidden="1"/>
    </xf>
    <xf numFmtId="0" fontId="1" fillId="24" borderId="15" xfId="0" applyFont="1" applyFill="1" applyBorder="1" applyProtection="1">
      <protection hidden="1"/>
    </xf>
    <xf numFmtId="0" fontId="3" fillId="24" borderId="16" xfId="0" applyFont="1" applyFill="1" applyBorder="1" applyProtection="1">
      <protection hidden="1"/>
    </xf>
    <xf numFmtId="0" fontId="3" fillId="24" borderId="18" xfId="0" applyFont="1" applyFill="1" applyBorder="1" applyProtection="1">
      <protection hidden="1"/>
    </xf>
    <xf numFmtId="0" fontId="2" fillId="24" borderId="15" xfId="0" applyFont="1" applyFill="1" applyBorder="1" applyAlignment="1" applyProtection="1">
      <alignment wrapText="1"/>
      <protection hidden="1"/>
    </xf>
    <xf numFmtId="0" fontId="2" fillId="24" borderId="16" xfId="0" applyFont="1" applyFill="1" applyBorder="1" applyAlignment="1" applyProtection="1">
      <alignment wrapText="1"/>
      <protection hidden="1"/>
    </xf>
    <xf numFmtId="0" fontId="1" fillId="24" borderId="16" xfId="0" applyFont="1" applyFill="1" applyBorder="1" applyAlignment="1" applyProtection="1">
      <alignment horizontal="left" vertical="top" wrapText="1"/>
      <protection hidden="1"/>
    </xf>
    <xf numFmtId="0" fontId="2" fillId="24" borderId="18" xfId="0" applyFont="1" applyFill="1" applyBorder="1" applyAlignment="1" applyProtection="1">
      <alignment wrapText="1"/>
      <protection hidden="1"/>
    </xf>
    <xf numFmtId="1" fontId="0" fillId="26" borderId="101" xfId="0" applyNumberFormat="1" applyFill="1" applyBorder="1" applyAlignment="1" applyProtection="1">
      <alignment horizontal="center"/>
      <protection locked="0" hidden="1"/>
    </xf>
    <xf numFmtId="1" fontId="0" fillId="26" borderId="102" xfId="0" applyNumberFormat="1" applyFill="1" applyBorder="1" applyAlignment="1" applyProtection="1">
      <alignment horizontal="center"/>
      <protection locked="0" hidden="1"/>
    </xf>
    <xf numFmtId="1" fontId="0" fillId="26" borderId="0" xfId="0" applyNumberFormat="1" applyFill="1" applyBorder="1" applyAlignment="1" applyProtection="1">
      <alignment horizontal="center"/>
      <protection locked="0" hidden="1"/>
    </xf>
    <xf numFmtId="1" fontId="0" fillId="26" borderId="14" xfId="0" applyNumberFormat="1" applyFill="1" applyBorder="1" applyAlignment="1" applyProtection="1">
      <alignment horizontal="center"/>
      <protection locked="0" hidden="1"/>
    </xf>
    <xf numFmtId="1" fontId="0" fillId="26" borderId="103" xfId="0" applyNumberFormat="1" applyFill="1" applyBorder="1" applyAlignment="1" applyProtection="1">
      <alignment horizontal="center"/>
      <protection locked="0" hidden="1"/>
    </xf>
    <xf numFmtId="1" fontId="0" fillId="26" borderId="104" xfId="0" applyNumberFormat="1" applyFill="1" applyBorder="1" applyAlignment="1" applyProtection="1">
      <alignment horizontal="center"/>
      <protection locked="0" hidden="1"/>
    </xf>
    <xf numFmtId="1" fontId="3" fillId="26" borderId="0" xfId="0" applyNumberFormat="1" applyFont="1" applyFill="1" applyBorder="1" applyAlignment="1" applyProtection="1">
      <alignment horizontal="center"/>
      <protection locked="0" hidden="1"/>
    </xf>
    <xf numFmtId="1" fontId="3" fillId="26" borderId="14" xfId="0" applyNumberFormat="1" applyFont="1" applyFill="1" applyBorder="1" applyAlignment="1" applyProtection="1">
      <alignment horizontal="center"/>
      <protection locked="0" hidden="1"/>
    </xf>
    <xf numFmtId="3" fontId="3" fillId="26" borderId="14" xfId="0" applyNumberFormat="1" applyFont="1" applyFill="1" applyBorder="1" applyAlignment="1" applyProtection="1">
      <alignment horizontal="center"/>
      <protection locked="0" hidden="1"/>
    </xf>
    <xf numFmtId="9" fontId="3" fillId="26" borderId="103" xfId="0" applyNumberFormat="1" applyFont="1" applyFill="1" applyBorder="1" applyAlignment="1" applyProtection="1">
      <alignment horizontal="center"/>
      <protection locked="0" hidden="1"/>
    </xf>
    <xf numFmtId="6" fontId="2" fillId="26" borderId="16" xfId="0" applyNumberFormat="1" applyFont="1" applyFill="1" applyBorder="1" applyAlignment="1" applyProtection="1">
      <alignment horizontal="center"/>
      <protection locked="0" hidden="1"/>
    </xf>
    <xf numFmtId="9" fontId="2" fillId="26" borderId="15" xfId="0" applyNumberFormat="1" applyFont="1" applyFill="1" applyBorder="1" applyAlignment="1" applyProtection="1">
      <alignment horizontal="center" vertical="center"/>
      <protection locked="0" hidden="1"/>
    </xf>
    <xf numFmtId="0" fontId="7" fillId="24" borderId="12" xfId="43" applyFont="1" applyFill="1" applyBorder="1" applyProtection="1">
      <protection hidden="1"/>
    </xf>
    <xf numFmtId="0" fontId="7" fillId="24" borderId="11" xfId="43" applyFont="1" applyFill="1" applyBorder="1" applyProtection="1">
      <protection hidden="1"/>
    </xf>
    <xf numFmtId="0" fontId="9" fillId="24" borderId="12" xfId="43" applyFont="1" applyFill="1" applyBorder="1" applyProtection="1">
      <protection hidden="1"/>
    </xf>
    <xf numFmtId="0" fontId="7" fillId="24" borderId="12" xfId="43" applyFont="1" applyFill="1" applyBorder="1" applyAlignment="1" applyProtection="1">
      <alignment vertical="center" wrapText="1"/>
      <protection hidden="1"/>
    </xf>
    <xf numFmtId="164" fontId="9" fillId="24" borderId="11" xfId="43" applyNumberFormat="1" applyFont="1" applyFill="1" applyBorder="1" applyAlignment="1" applyProtection="1">
      <alignment horizontal="center"/>
      <protection hidden="1"/>
    </xf>
    <xf numFmtId="0" fontId="11" fillId="24" borderId="27" xfId="43" applyFont="1" applyFill="1" applyBorder="1" applyProtection="1">
      <protection hidden="1"/>
    </xf>
    <xf numFmtId="5" fontId="11" fillId="24" borderId="29" xfId="28" applyNumberFormat="1" applyFont="1" applyFill="1" applyBorder="1" applyAlignment="1" applyProtection="1">
      <alignment horizontal="center" vertical="top"/>
      <protection hidden="1"/>
    </xf>
    <xf numFmtId="164" fontId="11" fillId="24" borderId="41" xfId="43" applyNumberFormat="1" applyFont="1" applyFill="1" applyBorder="1" applyAlignment="1" applyProtection="1">
      <alignment horizontal="center"/>
      <protection hidden="1"/>
    </xf>
    <xf numFmtId="0" fontId="11" fillId="24" borderId="33" xfId="43" applyFont="1" applyFill="1" applyBorder="1" applyAlignment="1" applyProtection="1">
      <alignment horizontal="center" vertical="center"/>
      <protection hidden="1"/>
    </xf>
    <xf numFmtId="0" fontId="11" fillId="24" borderId="86" xfId="43" applyFont="1" applyFill="1" applyBorder="1" applyAlignment="1" applyProtection="1">
      <alignment horizontal="center" vertical="center"/>
      <protection hidden="1"/>
    </xf>
    <xf numFmtId="0" fontId="11" fillId="24" borderId="52" xfId="43" applyFont="1" applyFill="1" applyBorder="1" applyAlignment="1" applyProtection="1">
      <alignment horizontal="left" vertical="center" wrapText="1"/>
      <protection hidden="1"/>
    </xf>
    <xf numFmtId="164" fontId="3" fillId="26" borderId="144" xfId="0" applyNumberFormat="1" applyFont="1" applyFill="1" applyBorder="1" applyAlignment="1" applyProtection="1">
      <alignment horizontal="center"/>
      <protection locked="0" hidden="1"/>
    </xf>
    <xf numFmtId="0" fontId="7" fillId="24" borderId="0" xfId="43" applyFont="1" applyFill="1" applyProtection="1">
      <protection hidden="1"/>
    </xf>
    <xf numFmtId="0" fontId="57" fillId="24" borderId="0" xfId="43" applyFont="1" applyFill="1" applyBorder="1" applyProtection="1">
      <protection hidden="1"/>
    </xf>
    <xf numFmtId="0" fontId="9" fillId="24" borderId="0" xfId="43" applyFont="1" applyFill="1" applyBorder="1" applyAlignment="1" applyProtection="1">
      <alignment wrapText="1"/>
      <protection hidden="1"/>
    </xf>
    <xf numFmtId="0" fontId="7" fillId="24" borderId="0" xfId="43" applyFont="1" applyFill="1" applyBorder="1" applyAlignment="1" applyProtection="1">
      <alignment horizontal="left" vertical="top" wrapText="1"/>
      <protection hidden="1"/>
    </xf>
    <xf numFmtId="0" fontId="33" fillId="24" borderId="0" xfId="43" applyFont="1" applyFill="1" applyBorder="1" applyAlignment="1" applyProtection="1">
      <alignment wrapText="1"/>
      <protection hidden="1"/>
    </xf>
    <xf numFmtId="0" fontId="11" fillId="24" borderId="0" xfId="43" applyFont="1" applyFill="1" applyBorder="1" applyAlignment="1" applyProtection="1">
      <alignment wrapText="1"/>
      <protection hidden="1"/>
    </xf>
    <xf numFmtId="0" fontId="7" fillId="24" borderId="0" xfId="43" applyFont="1" applyFill="1" applyBorder="1" applyAlignment="1" applyProtection="1">
      <alignment wrapText="1"/>
      <protection hidden="1"/>
    </xf>
    <xf numFmtId="0" fontId="7" fillId="24" borderId="0" xfId="43" applyFont="1" applyFill="1" applyAlignment="1" applyProtection="1">
      <alignment wrapText="1"/>
      <protection hidden="1"/>
    </xf>
    <xf numFmtId="0" fontId="7" fillId="24" borderId="0" xfId="43" applyFont="1" applyFill="1" applyBorder="1" applyAlignment="1" applyProtection="1">
      <alignment horizontal="center" vertical="center"/>
      <protection hidden="1"/>
    </xf>
    <xf numFmtId="0" fontId="7" fillId="24" borderId="0" xfId="43" applyFont="1" applyFill="1" applyAlignment="1" applyProtection="1">
      <alignment horizontal="center" vertical="center"/>
      <protection hidden="1"/>
    </xf>
    <xf numFmtId="0" fontId="7" fillId="24" borderId="0" xfId="43" applyFont="1" applyFill="1" applyBorder="1" applyAlignment="1" applyProtection="1">
      <alignment horizontal="center"/>
      <protection hidden="1"/>
    </xf>
    <xf numFmtId="0" fontId="55" fillId="24" borderId="0" xfId="43" applyFont="1" applyFill="1" applyBorder="1" applyProtection="1">
      <protection hidden="1"/>
    </xf>
    <xf numFmtId="0" fontId="55" fillId="24" borderId="0" xfId="43" applyFont="1" applyFill="1" applyProtection="1">
      <protection hidden="1"/>
    </xf>
    <xf numFmtId="5" fontId="9" fillId="24" borderId="0" xfId="28" applyNumberFormat="1" applyFont="1" applyFill="1" applyBorder="1" applyAlignment="1" applyProtection="1">
      <alignment horizontal="center" vertical="top"/>
      <protection hidden="1"/>
    </xf>
    <xf numFmtId="0" fontId="1" fillId="24" borderId="69" xfId="0" applyFont="1" applyFill="1" applyBorder="1" applyProtection="1">
      <protection hidden="1"/>
    </xf>
    <xf numFmtId="164" fontId="1" fillId="24" borderId="55" xfId="0" applyNumberFormat="1" applyFont="1" applyFill="1" applyBorder="1" applyAlignment="1" applyProtection="1">
      <alignment horizontal="center"/>
      <protection hidden="1"/>
    </xf>
    <xf numFmtId="3" fontId="1" fillId="24" borderId="57" xfId="0" applyNumberFormat="1" applyFont="1" applyFill="1" applyBorder="1" applyAlignment="1" applyProtection="1">
      <alignment horizontal="center"/>
      <protection hidden="1"/>
    </xf>
    <xf numFmtId="164" fontId="1" fillId="24" borderId="93" xfId="0" applyNumberFormat="1" applyFont="1" applyFill="1" applyBorder="1" applyAlignment="1" applyProtection="1">
      <alignment horizontal="center"/>
      <protection hidden="1"/>
    </xf>
    <xf numFmtId="164" fontId="0" fillId="24" borderId="57" xfId="0" applyNumberFormat="1" applyFill="1" applyBorder="1" applyAlignment="1" applyProtection="1">
      <alignment horizontal="center"/>
      <protection hidden="1"/>
    </xf>
    <xf numFmtId="164" fontId="0" fillId="24" borderId="61" xfId="0" applyNumberFormat="1" applyFill="1" applyBorder="1" applyAlignment="1" applyProtection="1">
      <alignment horizontal="center"/>
      <protection hidden="1"/>
    </xf>
    <xf numFmtId="0" fontId="3" fillId="24" borderId="43" xfId="0" applyFont="1" applyFill="1" applyBorder="1" applyAlignment="1" applyProtection="1">
      <protection hidden="1"/>
    </xf>
    <xf numFmtId="0" fontId="11" fillId="24" borderId="0" xfId="0" applyFont="1" applyFill="1" applyAlignment="1">
      <alignment vertical="center"/>
    </xf>
    <xf numFmtId="0" fontId="11" fillId="24" borderId="0" xfId="0" applyFont="1" applyFill="1" applyAlignment="1" applyProtection="1">
      <alignment vertical="center"/>
      <protection hidden="1"/>
    </xf>
    <xf numFmtId="0" fontId="2" fillId="24" borderId="0" xfId="0" applyFont="1" applyFill="1" applyAlignment="1" applyProtection="1">
      <alignment vertical="center"/>
      <protection hidden="1"/>
    </xf>
    <xf numFmtId="0" fontId="9" fillId="0" borderId="0" xfId="42" applyFont="1" applyFill="1" applyBorder="1" applyAlignment="1" applyProtection="1">
      <alignment wrapText="1"/>
      <protection hidden="1"/>
    </xf>
    <xf numFmtId="0" fontId="9" fillId="29" borderId="0" xfId="42" applyFont="1" applyFill="1" applyBorder="1" applyAlignment="1" applyProtection="1">
      <alignment vertical="center" wrapText="1"/>
      <protection hidden="1"/>
    </xf>
    <xf numFmtId="0" fontId="7" fillId="24" borderId="0" xfId="42" applyFont="1" applyFill="1" applyBorder="1" applyAlignment="1" applyProtection="1">
      <alignment vertical="center" wrapText="1"/>
      <protection hidden="1"/>
    </xf>
    <xf numFmtId="0" fontId="5" fillId="24" borderId="0" xfId="35" applyFill="1" applyBorder="1" applyAlignment="1" applyProtection="1">
      <protection hidden="1"/>
    </xf>
    <xf numFmtId="3" fontId="2" fillId="26" borderId="12" xfId="0" applyNumberFormat="1" applyFont="1" applyFill="1" applyBorder="1" applyAlignment="1" applyProtection="1">
      <alignment horizontal="center"/>
      <protection locked="0" hidden="1"/>
    </xf>
    <xf numFmtId="3" fontId="1" fillId="26" borderId="57" xfId="0" applyNumberFormat="1" applyFont="1" applyFill="1" applyBorder="1" applyAlignment="1" applyProtection="1">
      <alignment horizontal="center"/>
      <protection locked="0" hidden="1"/>
    </xf>
    <xf numFmtId="3" fontId="1" fillId="26" borderId="11" xfId="0" applyNumberFormat="1" applyFont="1" applyFill="1" applyBorder="1" applyAlignment="1" applyProtection="1">
      <alignment horizontal="center"/>
      <protection locked="0" hidden="1"/>
    </xf>
    <xf numFmtId="1" fontId="1" fillId="26" borderId="48" xfId="0" applyNumberFormat="1" applyFont="1" applyFill="1" applyBorder="1" applyAlignment="1" applyProtection="1">
      <alignment horizontal="center"/>
      <protection locked="0" hidden="1"/>
    </xf>
    <xf numFmtId="1" fontId="1" fillId="26" borderId="101" xfId="0" applyNumberFormat="1" applyFont="1" applyFill="1" applyBorder="1" applyAlignment="1" applyProtection="1">
      <alignment horizontal="center"/>
      <protection locked="0" hidden="1"/>
    </xf>
    <xf numFmtId="3" fontId="1" fillId="26" borderId="158" xfId="0" applyNumberFormat="1" applyFont="1" applyFill="1" applyBorder="1" applyAlignment="1" applyProtection="1">
      <alignment horizontal="center"/>
      <protection locked="0" hidden="1"/>
    </xf>
    <xf numFmtId="3" fontId="1" fillId="26" borderId="69" xfId="0" applyNumberFormat="1" applyFont="1" applyFill="1" applyBorder="1" applyAlignment="1" applyProtection="1">
      <alignment horizontal="center"/>
      <protection locked="0" hidden="1"/>
    </xf>
    <xf numFmtId="3" fontId="1" fillId="26" borderId="12" xfId="0" applyNumberFormat="1" applyFont="1" applyFill="1" applyBorder="1" applyAlignment="1" applyProtection="1">
      <alignment horizontal="center"/>
      <protection locked="0" hidden="1"/>
    </xf>
    <xf numFmtId="1" fontId="1" fillId="26" borderId="12" xfId="0" applyNumberFormat="1" applyFont="1" applyFill="1" applyBorder="1" applyAlignment="1" applyProtection="1">
      <alignment horizontal="center"/>
      <protection locked="0" hidden="1"/>
    </xf>
    <xf numFmtId="0" fontId="3" fillId="24" borderId="19" xfId="0" applyFont="1" applyFill="1" applyBorder="1" applyProtection="1">
      <protection hidden="1"/>
    </xf>
    <xf numFmtId="3" fontId="3" fillId="24" borderId="42" xfId="0" applyNumberFormat="1" applyFont="1" applyFill="1" applyBorder="1" applyAlignment="1" applyProtection="1">
      <alignment horizontal="center"/>
      <protection hidden="1"/>
    </xf>
    <xf numFmtId="9" fontId="3" fillId="24" borderId="44" xfId="0" applyNumberFormat="1" applyFont="1" applyFill="1" applyBorder="1" applyAlignment="1" applyProtection="1">
      <alignment horizontal="center"/>
      <protection hidden="1"/>
    </xf>
    <xf numFmtId="9" fontId="3" fillId="24" borderId="99" xfId="0" applyNumberFormat="1" applyFont="1" applyFill="1" applyBorder="1" applyAlignment="1" applyProtection="1">
      <alignment horizontal="center"/>
      <protection hidden="1"/>
    </xf>
    <xf numFmtId="3" fontId="3" fillId="24" borderId="99" xfId="0" applyNumberFormat="1" applyFont="1" applyFill="1" applyBorder="1" applyAlignment="1" applyProtection="1">
      <alignment horizontal="center"/>
      <protection hidden="1"/>
    </xf>
    <xf numFmtId="3" fontId="3" fillId="24" borderId="44" xfId="0" applyNumberFormat="1" applyFont="1" applyFill="1" applyBorder="1" applyAlignment="1" applyProtection="1">
      <alignment horizontal="center"/>
      <protection hidden="1"/>
    </xf>
    <xf numFmtId="3" fontId="3" fillId="24" borderId="160" xfId="0" applyNumberFormat="1" applyFont="1" applyFill="1" applyBorder="1" applyAlignment="1" applyProtection="1">
      <alignment horizontal="center"/>
      <protection hidden="1"/>
    </xf>
    <xf numFmtId="3" fontId="3" fillId="24" borderId="0" xfId="0" applyNumberFormat="1" applyFont="1" applyFill="1" applyAlignment="1" applyProtection="1">
      <alignment horizontal="center"/>
      <protection hidden="1"/>
    </xf>
    <xf numFmtId="164" fontId="2" fillId="26" borderId="51" xfId="0" applyNumberFormat="1" applyFont="1" applyFill="1" applyBorder="1" applyAlignment="1" applyProtection="1">
      <alignment horizontal="center"/>
      <protection locked="0" hidden="1"/>
    </xf>
    <xf numFmtId="168" fontId="2" fillId="24" borderId="47" xfId="0" applyNumberFormat="1" applyFont="1" applyFill="1" applyBorder="1" applyAlignment="1" applyProtection="1">
      <alignment horizontal="center"/>
      <protection locked="0" hidden="1"/>
    </xf>
    <xf numFmtId="0" fontId="29" fillId="26" borderId="0" xfId="39" applyFont="1" applyFill="1" applyAlignment="1" applyProtection="1">
      <alignment horizontal="center"/>
      <protection locked="0" hidden="1"/>
    </xf>
    <xf numFmtId="1" fontId="29" fillId="26" borderId="0" xfId="39" applyNumberFormat="1" applyFont="1" applyFill="1" applyAlignment="1" applyProtection="1">
      <alignment horizontal="center"/>
      <protection locked="0" hidden="1"/>
    </xf>
    <xf numFmtId="164" fontId="1" fillId="26" borderId="124" xfId="0" applyNumberFormat="1" applyFont="1" applyFill="1" applyBorder="1" applyAlignment="1" applyProtection="1">
      <alignment horizontal="center"/>
      <protection locked="0" hidden="1"/>
    </xf>
    <xf numFmtId="6" fontId="46" fillId="26" borderId="141" xfId="39" applyNumberFormat="1" applyFont="1" applyFill="1" applyBorder="1" applyAlignment="1" applyProtection="1">
      <alignment horizontal="center"/>
      <protection locked="0" hidden="1"/>
    </xf>
    <xf numFmtId="165" fontId="3" fillId="24" borderId="41" xfId="0" applyNumberFormat="1" applyFont="1" applyFill="1" applyBorder="1" applyAlignment="1" applyProtection="1">
      <alignment horizontal="center"/>
      <protection hidden="1"/>
    </xf>
    <xf numFmtId="164" fontId="3" fillId="24" borderId="51" xfId="0" applyNumberFormat="1" applyFont="1" applyFill="1" applyBorder="1" applyAlignment="1" applyProtection="1">
      <alignment horizontal="center" vertical="center" wrapText="1"/>
      <protection hidden="1"/>
    </xf>
    <xf numFmtId="164" fontId="3" fillId="24" borderId="51" xfId="0" applyNumberFormat="1" applyFont="1" applyFill="1" applyBorder="1" applyAlignment="1" applyProtection="1">
      <alignment horizontal="center"/>
      <protection hidden="1"/>
    </xf>
    <xf numFmtId="164" fontId="3" fillId="24" borderId="47" xfId="0" applyNumberFormat="1" applyFont="1" applyFill="1" applyBorder="1" applyAlignment="1" applyProtection="1">
      <alignment horizontal="center" vertical="center"/>
      <protection hidden="1"/>
    </xf>
    <xf numFmtId="165" fontId="3" fillId="24" borderId="47" xfId="0" applyNumberFormat="1" applyFont="1" applyFill="1" applyBorder="1" applyAlignment="1" applyProtection="1">
      <alignment horizontal="center" vertical="center" wrapText="1"/>
      <protection hidden="1"/>
    </xf>
    <xf numFmtId="165" fontId="2" fillId="24" borderId="47" xfId="0" applyNumberFormat="1" applyFont="1" applyFill="1" applyBorder="1" applyAlignment="1" applyProtection="1">
      <alignment horizontal="center"/>
      <protection hidden="1"/>
    </xf>
    <xf numFmtId="164" fontId="2" fillId="24" borderId="12" xfId="0" applyNumberFormat="1" applyFont="1" applyFill="1" applyBorder="1"/>
    <xf numFmtId="164" fontId="3" fillId="24" borderId="47" xfId="0" applyNumberFormat="1" applyFont="1" applyFill="1" applyBorder="1" applyAlignment="1" applyProtection="1">
      <alignment horizontal="center"/>
      <protection hidden="1"/>
    </xf>
    <xf numFmtId="164" fontId="3" fillId="24" borderId="29" xfId="0" applyNumberFormat="1" applyFont="1" applyFill="1" applyBorder="1"/>
    <xf numFmtId="165" fontId="3" fillId="24" borderId="46" xfId="0" applyNumberFormat="1" applyFont="1" applyFill="1" applyBorder="1" applyAlignment="1" applyProtection="1">
      <alignment horizontal="center"/>
      <protection hidden="1"/>
    </xf>
    <xf numFmtId="6" fontId="2" fillId="24" borderId="47" xfId="0" applyNumberFormat="1" applyFont="1" applyFill="1" applyBorder="1" applyAlignment="1" applyProtection="1">
      <alignment horizontal="center"/>
      <protection hidden="1"/>
    </xf>
    <xf numFmtId="6" fontId="3" fillId="24" borderId="46" xfId="0" applyNumberFormat="1" applyFont="1" applyFill="1" applyBorder="1" applyAlignment="1" applyProtection="1">
      <alignment horizontal="center"/>
      <protection hidden="1"/>
    </xf>
    <xf numFmtId="164" fontId="32" fillId="0" borderId="46" xfId="0" applyNumberFormat="1" applyFont="1" applyFill="1" applyBorder="1" applyAlignment="1" applyProtection="1">
      <alignment horizontal="center"/>
    </xf>
    <xf numFmtId="1" fontId="45" fillId="24" borderId="116" xfId="39" applyNumberFormat="1" applyFont="1" applyFill="1" applyBorder="1" applyAlignment="1" applyProtection="1">
      <alignment horizontal="center"/>
      <protection hidden="1"/>
    </xf>
    <xf numFmtId="0" fontId="45" fillId="24" borderId="116" xfId="39" applyFont="1" applyFill="1" applyBorder="1" applyAlignment="1" applyProtection="1">
      <alignment horizontal="center"/>
      <protection hidden="1"/>
    </xf>
    <xf numFmtId="0" fontId="29" fillId="26" borderId="11" xfId="39" applyFont="1" applyFill="1" applyBorder="1" applyAlignment="1" applyProtection="1">
      <alignment horizontal="center"/>
      <protection locked="0" hidden="1"/>
    </xf>
    <xf numFmtId="0" fontId="37" fillId="26" borderId="0" xfId="39" applyFont="1" applyFill="1" applyAlignment="1" applyProtection="1">
      <alignment horizontal="center" vertical="center"/>
      <protection locked="0" hidden="1"/>
    </xf>
    <xf numFmtId="0" fontId="37" fillId="26" borderId="14" xfId="39" applyFont="1" applyFill="1" applyBorder="1" applyAlignment="1" applyProtection="1">
      <alignment horizontal="center"/>
      <protection locked="0" hidden="1"/>
    </xf>
    <xf numFmtId="0" fontId="37" fillId="24" borderId="19" xfId="39" applyFont="1" applyFill="1" applyBorder="1" applyProtection="1">
      <protection hidden="1"/>
    </xf>
    <xf numFmtId="0" fontId="29" fillId="24" borderId="20" xfId="39" applyFont="1" applyFill="1" applyBorder="1" applyProtection="1">
      <protection hidden="1"/>
    </xf>
    <xf numFmtId="0" fontId="29" fillId="24" borderId="22" xfId="39" applyFont="1" applyFill="1" applyBorder="1" applyProtection="1">
      <protection hidden="1"/>
    </xf>
    <xf numFmtId="0" fontId="37" fillId="24" borderId="0" xfId="39" applyFont="1" applyFill="1" applyBorder="1" applyAlignment="1" applyProtection="1">
      <alignment horizontal="center" vertical="center"/>
      <protection locked="0" hidden="1"/>
    </xf>
    <xf numFmtId="0" fontId="29" fillId="24" borderId="100" xfId="39" applyFont="1" applyFill="1" applyBorder="1" applyProtection="1">
      <protection hidden="1"/>
    </xf>
    <xf numFmtId="0" fontId="37" fillId="26" borderId="102" xfId="39" applyFont="1" applyFill="1" applyBorder="1" applyAlignment="1" applyProtection="1">
      <alignment horizontal="center"/>
      <protection locked="0" hidden="1"/>
    </xf>
    <xf numFmtId="0" fontId="37" fillId="26" borderId="14" xfId="39" applyFont="1" applyFill="1" applyBorder="1" applyAlignment="1" applyProtection="1">
      <alignment horizontal="center" vertical="center"/>
      <protection locked="0" hidden="1"/>
    </xf>
    <xf numFmtId="0" fontId="29" fillId="24" borderId="11" xfId="39" applyFont="1" applyFill="1" applyBorder="1" applyProtection="1">
      <protection hidden="1"/>
    </xf>
    <xf numFmtId="0" fontId="29" fillId="24" borderId="19" xfId="39" applyFont="1" applyFill="1" applyBorder="1" applyAlignment="1" applyProtection="1">
      <alignment horizontal="left" vertical="center" wrapText="1"/>
      <protection hidden="1"/>
    </xf>
    <xf numFmtId="0" fontId="29" fillId="24" borderId="20" xfId="39" applyFont="1" applyFill="1" applyBorder="1" applyAlignment="1" applyProtection="1">
      <alignment horizontal="left" vertical="center" wrapText="1"/>
      <protection hidden="1"/>
    </xf>
    <xf numFmtId="0" fontId="37" fillId="24" borderId="22" xfId="39" applyFont="1" applyFill="1" applyBorder="1" applyAlignment="1" applyProtection="1">
      <alignment horizontal="center" vertical="center"/>
      <protection hidden="1"/>
    </xf>
    <xf numFmtId="3" fontId="37" fillId="24" borderId="99" xfId="39" applyNumberFormat="1" applyFont="1" applyFill="1" applyBorder="1" applyAlignment="1" applyProtection="1">
      <alignment horizontal="center" vertical="center"/>
      <protection hidden="1"/>
    </xf>
    <xf numFmtId="3" fontId="37" fillId="24" borderId="43" xfId="39" applyNumberFormat="1" applyFont="1" applyFill="1" applyBorder="1" applyAlignment="1" applyProtection="1">
      <alignment horizontal="center" vertical="center"/>
      <protection hidden="1"/>
    </xf>
    <xf numFmtId="0" fontId="29" fillId="24" borderId="17" xfId="39" applyFont="1" applyFill="1" applyBorder="1" applyProtection="1">
      <protection hidden="1"/>
    </xf>
    <xf numFmtId="0" fontId="29" fillId="24" borderId="103" xfId="39" applyFont="1" applyFill="1" applyBorder="1" applyProtection="1">
      <protection hidden="1"/>
    </xf>
    <xf numFmtId="0" fontId="37" fillId="26" borderId="104" xfId="39" applyFont="1" applyFill="1" applyBorder="1" applyAlignment="1" applyProtection="1">
      <alignment horizontal="center"/>
      <protection locked="0" hidden="1"/>
    </xf>
    <xf numFmtId="0" fontId="37" fillId="26" borderId="102" xfId="39" applyFont="1" applyFill="1" applyBorder="1" applyAlignment="1" applyProtection="1">
      <alignment horizontal="center" vertical="center"/>
      <protection locked="0" hidden="1"/>
    </xf>
    <xf numFmtId="0" fontId="2" fillId="24" borderId="115" xfId="0" applyFont="1" applyFill="1" applyBorder="1" applyAlignment="1" applyProtection="1">
      <alignment horizontal="center"/>
      <protection locked="0" hidden="1"/>
    </xf>
    <xf numFmtId="0" fontId="1" fillId="26" borderId="0" xfId="0" applyFont="1" applyFill="1" applyBorder="1" applyProtection="1">
      <protection locked="0" hidden="1"/>
    </xf>
    <xf numFmtId="0" fontId="1" fillId="24" borderId="20" xfId="0" applyFont="1" applyFill="1" applyBorder="1" applyAlignment="1" applyProtection="1">
      <alignment horizontal="center"/>
      <protection hidden="1"/>
    </xf>
    <xf numFmtId="165" fontId="1" fillId="24" borderId="29" xfId="0" applyNumberFormat="1" applyFont="1" applyFill="1" applyBorder="1" applyAlignment="1" applyProtection="1">
      <alignment horizontal="center"/>
      <protection hidden="1"/>
    </xf>
    <xf numFmtId="0" fontId="2" fillId="26" borderId="33" xfId="0" applyFont="1" applyFill="1" applyBorder="1" applyAlignment="1" applyProtection="1">
      <alignment horizontal="center"/>
      <protection locked="0" hidden="1"/>
    </xf>
    <xf numFmtId="0" fontId="3" fillId="24" borderId="101" xfId="0" applyFont="1" applyFill="1" applyBorder="1" applyAlignment="1" applyProtection="1">
      <alignment horizontal="center"/>
      <protection hidden="1"/>
    </xf>
    <xf numFmtId="0" fontId="3" fillId="24" borderId="102" xfId="0" applyFont="1" applyFill="1" applyBorder="1" applyAlignment="1" applyProtection="1">
      <alignment horizontal="center"/>
      <protection hidden="1"/>
    </xf>
    <xf numFmtId="165" fontId="1" fillId="24" borderId="99" xfId="0" applyNumberFormat="1" applyFont="1" applyFill="1" applyBorder="1" applyAlignment="1" applyProtection="1">
      <alignment horizontal="center"/>
      <protection hidden="1"/>
    </xf>
    <xf numFmtId="165" fontId="2" fillId="24" borderId="99" xfId="0" applyNumberFormat="1" applyFont="1" applyFill="1" applyBorder="1" applyAlignment="1" applyProtection="1">
      <alignment horizontal="center"/>
      <protection hidden="1"/>
    </xf>
    <xf numFmtId="165" fontId="1" fillId="24" borderId="122" xfId="0" applyNumberFormat="1" applyFont="1" applyFill="1" applyBorder="1" applyAlignment="1" applyProtection="1">
      <alignment horizontal="center"/>
      <protection hidden="1"/>
    </xf>
    <xf numFmtId="8" fontId="31" fillId="26" borderId="116" xfId="0" applyNumberFormat="1" applyFont="1" applyFill="1" applyBorder="1" applyAlignment="1" applyProtection="1">
      <alignment horizontal="center" vertical="center" wrapText="1"/>
      <protection locked="0" hidden="1"/>
    </xf>
    <xf numFmtId="3" fontId="1" fillId="26" borderId="0" xfId="0" applyNumberFormat="1" applyFont="1" applyFill="1" applyAlignment="1" applyProtection="1">
      <alignment horizontal="center"/>
      <protection locked="0" hidden="1"/>
    </xf>
    <xf numFmtId="165" fontId="1" fillId="26" borderId="13" xfId="0" applyNumberFormat="1" applyFont="1" applyFill="1" applyBorder="1" applyAlignment="1" applyProtection="1">
      <alignment horizontal="center" vertical="center"/>
      <protection locked="0" hidden="1"/>
    </xf>
    <xf numFmtId="3" fontId="1" fillId="26" borderId="0" xfId="0" applyNumberFormat="1" applyFont="1" applyFill="1" applyBorder="1" applyAlignment="1" applyProtection="1">
      <alignment horizontal="center" vertical="center"/>
      <protection locked="0" hidden="1"/>
    </xf>
    <xf numFmtId="165" fontId="1" fillId="26" borderId="0" xfId="0" applyNumberFormat="1" applyFont="1" applyFill="1" applyAlignment="1" applyProtection="1">
      <alignment horizontal="center" vertical="center"/>
      <protection locked="0" hidden="1"/>
    </xf>
    <xf numFmtId="0" fontId="9" fillId="26" borderId="0" xfId="0" applyFont="1" applyFill="1" applyBorder="1" applyAlignment="1" applyProtection="1">
      <alignment horizontal="left"/>
      <protection locked="0" hidden="1"/>
    </xf>
    <xf numFmtId="0" fontId="3" fillId="24" borderId="0" xfId="0" applyFont="1" applyFill="1" applyAlignment="1">
      <alignment wrapText="1"/>
    </xf>
    <xf numFmtId="0" fontId="1" fillId="24" borderId="0" xfId="0" applyFont="1" applyFill="1"/>
    <xf numFmtId="0" fontId="3" fillId="0" borderId="19" xfId="0" applyFont="1" applyBorder="1" applyAlignment="1" applyProtection="1">
      <alignment horizontal="center" vertical="center"/>
      <protection hidden="1"/>
    </xf>
    <xf numFmtId="168" fontId="2" fillId="24" borderId="47" xfId="0" applyNumberFormat="1" applyFont="1" applyFill="1" applyBorder="1" applyAlignment="1" applyProtection="1">
      <alignment horizontal="center"/>
    </xf>
    <xf numFmtId="0" fontId="1" fillId="24" borderId="0" xfId="0" applyFont="1" applyFill="1" applyAlignment="1">
      <alignment horizontal="center" vertical="center"/>
    </xf>
    <xf numFmtId="0" fontId="9" fillId="24" borderId="0" xfId="0" applyFont="1" applyFill="1" applyBorder="1" applyAlignment="1" applyProtection="1">
      <alignment horizontal="center" vertical="center"/>
      <protection hidden="1"/>
    </xf>
    <xf numFmtId="0" fontId="0" fillId="24" borderId="0" xfId="0" applyFill="1" applyBorder="1" applyAlignment="1" applyProtection="1">
      <alignment horizontal="center" vertical="center"/>
      <protection hidden="1"/>
    </xf>
    <xf numFmtId="0" fontId="0" fillId="24" borderId="0" xfId="0" applyFill="1" applyBorder="1" applyAlignment="1">
      <alignment horizontal="center" vertical="center"/>
    </xf>
    <xf numFmtId="0" fontId="65" fillId="24" borderId="0" xfId="35" applyFont="1" applyFill="1" applyBorder="1" applyAlignment="1" applyProtection="1">
      <alignment horizontal="center" vertical="center"/>
    </xf>
    <xf numFmtId="0" fontId="5" fillId="24" borderId="0" xfId="35" applyFill="1" applyBorder="1" applyAlignment="1" applyProtection="1">
      <alignment horizontal="center" vertical="center"/>
    </xf>
    <xf numFmtId="0" fontId="9" fillId="24" borderId="0" xfId="0" applyFont="1" applyFill="1" applyBorder="1" applyAlignment="1">
      <alignment horizontal="center" vertical="center"/>
    </xf>
    <xf numFmtId="0" fontId="0" fillId="24" borderId="0" xfId="0" applyFill="1" applyAlignment="1">
      <alignment horizontal="center" vertical="center"/>
    </xf>
    <xf numFmtId="0" fontId="3" fillId="24" borderId="0" xfId="0" applyFont="1" applyFill="1" applyAlignment="1">
      <alignment horizontal="center" vertical="center"/>
    </xf>
    <xf numFmtId="0" fontId="1" fillId="24" borderId="0" xfId="0" applyFont="1" applyFill="1" applyAlignment="1">
      <alignment vertical="center"/>
    </xf>
    <xf numFmtId="0" fontId="65" fillId="24" borderId="0" xfId="35" applyFont="1" applyFill="1" applyAlignment="1" applyProtection="1">
      <alignment horizontal="center" vertical="center"/>
    </xf>
    <xf numFmtId="0" fontId="2" fillId="24" borderId="0" xfId="0" applyFont="1" applyFill="1" applyAlignment="1">
      <alignment horizontal="center" vertical="center"/>
    </xf>
    <xf numFmtId="0" fontId="2" fillId="24" borderId="0" xfId="0" applyFont="1" applyFill="1" applyAlignment="1">
      <alignment wrapText="1"/>
    </xf>
    <xf numFmtId="164" fontId="2" fillId="24" borderId="0" xfId="0" applyNumberFormat="1" applyFont="1" applyFill="1" applyAlignment="1">
      <alignment horizontal="center"/>
    </xf>
    <xf numFmtId="0" fontId="2" fillId="24" borderId="0" xfId="0" applyFont="1" applyFill="1" applyAlignment="1">
      <alignment horizontal="center"/>
    </xf>
    <xf numFmtId="0" fontId="9" fillId="24" borderId="0" xfId="0" applyFont="1" applyFill="1" applyAlignment="1" applyProtection="1">
      <alignment horizontal="center"/>
      <protection hidden="1"/>
    </xf>
    <xf numFmtId="0" fontId="9" fillId="24" borderId="0" xfId="0" applyFont="1" applyFill="1" applyAlignment="1" applyProtection="1">
      <alignment horizontal="center" vertical="center"/>
      <protection hidden="1"/>
    </xf>
    <xf numFmtId="0" fontId="5" fillId="24" borderId="0" xfId="35" applyFill="1" applyBorder="1" applyAlignment="1" applyProtection="1">
      <alignment horizontal="center"/>
      <protection hidden="1"/>
    </xf>
    <xf numFmtId="0" fontId="65" fillId="24" borderId="0" xfId="35" applyFont="1" applyFill="1" applyBorder="1" applyAlignment="1" applyProtection="1">
      <alignment horizontal="center"/>
      <protection hidden="1"/>
    </xf>
    <xf numFmtId="0" fontId="67" fillId="24" borderId="0" xfId="0" applyFont="1" applyFill="1" applyAlignment="1" applyProtection="1">
      <alignment horizontal="center"/>
      <protection hidden="1"/>
    </xf>
    <xf numFmtId="0" fontId="67" fillId="24" borderId="0" xfId="0" applyFont="1" applyFill="1" applyAlignment="1" applyProtection="1">
      <alignment horizontal="center" vertical="center"/>
      <protection hidden="1"/>
    </xf>
    <xf numFmtId="0" fontId="67" fillId="24" borderId="0" xfId="0" applyFont="1" applyFill="1" applyAlignment="1" applyProtection="1">
      <alignment wrapText="1"/>
      <protection hidden="1"/>
    </xf>
    <xf numFmtId="0" fontId="65" fillId="24" borderId="0" xfId="35" applyFont="1" applyFill="1" applyAlignment="1" applyProtection="1">
      <alignment horizontal="center"/>
      <protection hidden="1"/>
    </xf>
    <xf numFmtId="0" fontId="5" fillId="24" borderId="0" xfId="35" applyFill="1" applyAlignment="1" applyProtection="1">
      <alignment horizontal="center"/>
      <protection hidden="1"/>
    </xf>
    <xf numFmtId="164" fontId="7" fillId="24" borderId="0" xfId="43" applyNumberFormat="1" applyFont="1" applyFill="1" applyBorder="1" applyProtection="1">
      <protection hidden="1"/>
    </xf>
    <xf numFmtId="0" fontId="5" fillId="24" borderId="0" xfId="35" applyFill="1" applyBorder="1" applyAlignment="1" applyProtection="1">
      <alignment horizontal="center" vertical="center"/>
      <protection hidden="1"/>
    </xf>
    <xf numFmtId="0" fontId="65" fillId="24" borderId="0" xfId="35" applyFont="1" applyFill="1" applyBorder="1" applyAlignment="1" applyProtection="1">
      <alignment horizontal="center" vertical="center"/>
      <protection hidden="1"/>
    </xf>
    <xf numFmtId="0" fontId="3" fillId="24" borderId="0" xfId="0" applyFont="1" applyFill="1" applyAlignment="1">
      <alignment horizontal="center"/>
    </xf>
    <xf numFmtId="0" fontId="2" fillId="24" borderId="0" xfId="0" applyFont="1" applyFill="1" applyAlignment="1" applyProtection="1">
      <alignment horizontal="center" vertical="center"/>
      <protection hidden="1"/>
    </xf>
    <xf numFmtId="0" fontId="2" fillId="24" borderId="0" xfId="0" applyFont="1" applyFill="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4" borderId="0" xfId="0" applyFont="1" applyFill="1" applyAlignment="1" applyProtection="1">
      <alignment horizontal="left"/>
      <protection hidden="1"/>
    </xf>
    <xf numFmtId="0" fontId="2" fillId="24" borderId="0" xfId="0" applyFont="1" applyFill="1" applyAlignment="1" applyProtection="1">
      <alignment horizontal="left" vertical="center"/>
      <protection hidden="1"/>
    </xf>
    <xf numFmtId="0" fontId="3" fillId="24" borderId="0" xfId="0" applyFont="1" applyFill="1" applyBorder="1" applyAlignment="1" applyProtection="1">
      <alignment horizontal="center" wrapText="1"/>
      <protection hidden="1"/>
    </xf>
    <xf numFmtId="0" fontId="3" fillId="0" borderId="100" xfId="0" applyFont="1" applyBorder="1" applyAlignment="1" applyProtection="1">
      <alignment horizontal="center"/>
      <protection hidden="1"/>
    </xf>
    <xf numFmtId="0" fontId="2" fillId="24" borderId="11" xfId="0" applyFont="1" applyFill="1" applyBorder="1" applyAlignment="1" applyProtection="1">
      <alignment horizontal="center"/>
      <protection hidden="1"/>
    </xf>
    <xf numFmtId="0" fontId="65" fillId="24" borderId="0" xfId="35" applyFont="1" applyFill="1" applyAlignment="1" applyProtection="1">
      <alignment horizontal="center" vertical="center"/>
      <protection hidden="1"/>
    </xf>
    <xf numFmtId="9" fontId="1" fillId="24" borderId="11" xfId="0" applyNumberFormat="1" applyFont="1" applyFill="1" applyBorder="1" applyAlignment="1" applyProtection="1">
      <alignment horizontal="center"/>
      <protection hidden="1"/>
    </xf>
    <xf numFmtId="167" fontId="1" fillId="24" borderId="11" xfId="0" applyNumberFormat="1" applyFont="1" applyFill="1" applyBorder="1" applyAlignment="1" applyProtection="1">
      <alignment horizontal="center"/>
      <protection hidden="1"/>
    </xf>
    <xf numFmtId="3" fontId="1" fillId="24" borderId="69" xfId="0" applyNumberFormat="1" applyFont="1" applyFill="1" applyBorder="1" applyAlignment="1" applyProtection="1">
      <alignment horizontal="center"/>
      <protection hidden="1"/>
    </xf>
    <xf numFmtId="167" fontId="2" fillId="24" borderId="11" xfId="0" applyNumberFormat="1" applyFont="1" applyFill="1" applyBorder="1" applyAlignment="1" applyProtection="1">
      <alignment horizontal="center"/>
      <protection hidden="1"/>
    </xf>
    <xf numFmtId="9" fontId="9" fillId="24" borderId="44" xfId="0" applyNumberFormat="1" applyFont="1" applyFill="1" applyBorder="1" applyAlignment="1" applyProtection="1">
      <alignment horizontal="center"/>
      <protection hidden="1"/>
    </xf>
    <xf numFmtId="167" fontId="2" fillId="24" borderId="39" xfId="0" applyNumberFormat="1" applyFont="1" applyFill="1" applyBorder="1" applyAlignment="1" applyProtection="1">
      <alignment horizontal="center"/>
      <protection hidden="1"/>
    </xf>
    <xf numFmtId="9" fontId="3" fillId="25" borderId="40" xfId="0" applyNumberFormat="1" applyFont="1" applyFill="1" applyBorder="1" applyAlignment="1" applyProtection="1">
      <alignment horizontal="center"/>
      <protection hidden="1"/>
    </xf>
    <xf numFmtId="9" fontId="3" fillId="25" borderId="41" xfId="0" applyNumberFormat="1" applyFont="1" applyFill="1" applyBorder="1" applyAlignment="1" applyProtection="1">
      <alignment horizontal="center"/>
      <protection hidden="1"/>
    </xf>
    <xf numFmtId="0" fontId="9" fillId="24" borderId="42" xfId="0" applyFont="1" applyFill="1" applyBorder="1" applyProtection="1">
      <protection hidden="1"/>
    </xf>
    <xf numFmtId="3" fontId="9" fillId="24" borderId="43" xfId="0" applyNumberFormat="1" applyFont="1" applyFill="1" applyBorder="1" applyAlignment="1" applyProtection="1">
      <alignment horizontal="center"/>
      <protection hidden="1"/>
    </xf>
    <xf numFmtId="3" fontId="45" fillId="0" borderId="45" xfId="0" applyNumberFormat="1" applyFont="1" applyBorder="1" applyAlignment="1" applyProtection="1">
      <alignment horizontal="center"/>
      <protection hidden="1"/>
    </xf>
    <xf numFmtId="0" fontId="2" fillId="24" borderId="36" xfId="0" applyFont="1" applyFill="1" applyBorder="1" applyAlignment="1" applyProtection="1">
      <alignment horizontal="center"/>
      <protection hidden="1"/>
    </xf>
    <xf numFmtId="49" fontId="2" fillId="24" borderId="36" xfId="0" applyNumberFormat="1" applyFont="1" applyFill="1" applyBorder="1" applyAlignment="1" applyProtection="1">
      <alignment horizontal="center"/>
      <protection hidden="1"/>
    </xf>
    <xf numFmtId="49" fontId="49" fillId="24" borderId="36" xfId="0" applyNumberFormat="1" applyFont="1" applyFill="1" applyBorder="1" applyAlignment="1" applyProtection="1">
      <alignment horizontal="center"/>
      <protection hidden="1"/>
    </xf>
    <xf numFmtId="49" fontId="3" fillId="25" borderId="37" xfId="0" applyNumberFormat="1" applyFont="1" applyFill="1" applyBorder="1" applyAlignment="1" applyProtection="1">
      <alignment horizontal="center"/>
      <protection hidden="1"/>
    </xf>
    <xf numFmtId="3" fontId="3" fillId="25" borderId="38" xfId="0" applyNumberFormat="1" applyFont="1" applyFill="1" applyBorder="1" applyAlignment="1" applyProtection="1">
      <alignment horizontal="center" vertical="center"/>
      <protection hidden="1"/>
    </xf>
    <xf numFmtId="3" fontId="3" fillId="25" borderId="29" xfId="0" applyNumberFormat="1" applyFont="1" applyFill="1" applyBorder="1" applyAlignment="1" applyProtection="1">
      <alignment horizontal="center" vertical="center"/>
      <protection hidden="1"/>
    </xf>
    <xf numFmtId="0" fontId="10" fillId="24" borderId="0" xfId="0" applyFont="1" applyFill="1" applyBorder="1" applyAlignment="1" applyProtection="1">
      <alignment horizontal="left" vertical="center" wrapText="1"/>
      <protection hidden="1"/>
    </xf>
    <xf numFmtId="0" fontId="9" fillId="25" borderId="161" xfId="35" applyFont="1" applyFill="1" applyBorder="1" applyAlignment="1" applyProtection="1">
      <alignment horizontal="center" vertical="center" wrapText="1"/>
      <protection locked="0"/>
    </xf>
    <xf numFmtId="0" fontId="9" fillId="0" borderId="69" xfId="35" applyFont="1" applyBorder="1" applyAlignment="1" applyProtection="1">
      <alignment horizontal="center" vertical="center" wrapText="1"/>
      <protection locked="0"/>
    </xf>
    <xf numFmtId="0" fontId="9" fillId="0" borderId="162" xfId="35" applyFont="1" applyBorder="1" applyAlignment="1" applyProtection="1">
      <alignment horizontal="center" vertical="center" wrapText="1"/>
      <protection locked="0"/>
    </xf>
    <xf numFmtId="0" fontId="11" fillId="25" borderId="161" xfId="35" applyFont="1" applyFill="1" applyBorder="1" applyAlignment="1" applyProtection="1">
      <alignment horizontal="center" vertical="center" wrapText="1"/>
    </xf>
    <xf numFmtId="0" fontId="11" fillId="0" borderId="162" xfId="35" applyFont="1" applyBorder="1" applyAlignment="1" applyProtection="1">
      <alignment horizontal="center" vertical="center" wrapText="1"/>
    </xf>
    <xf numFmtId="0" fontId="11" fillId="25" borderId="162" xfId="35" applyFont="1" applyFill="1" applyBorder="1" applyAlignment="1" applyProtection="1">
      <alignment horizontal="center" vertical="center" wrapText="1"/>
    </xf>
    <xf numFmtId="0" fontId="11" fillId="0" borderId="69" xfId="35" applyFont="1" applyBorder="1" applyAlignment="1" applyProtection="1">
      <alignment wrapText="1"/>
    </xf>
    <xf numFmtId="0" fontId="11" fillId="0" borderId="162" xfId="35" applyFont="1" applyBorder="1" applyAlignment="1" applyProtection="1">
      <alignment wrapText="1"/>
    </xf>
    <xf numFmtId="0" fontId="11" fillId="25" borderId="69" xfId="35" applyFont="1" applyFill="1" applyBorder="1" applyAlignment="1" applyProtection="1">
      <alignment horizontal="center" vertical="center" wrapText="1"/>
    </xf>
    <xf numFmtId="0" fontId="58" fillId="24" borderId="58" xfId="0" applyFont="1" applyFill="1" applyBorder="1" applyAlignment="1">
      <alignment horizontal="center" vertical="center" wrapText="1"/>
    </xf>
    <xf numFmtId="0" fontId="0" fillId="0" borderId="157" xfId="0" applyBorder="1" applyAlignment="1">
      <alignment horizontal="center" vertical="center" wrapText="1"/>
    </xf>
    <xf numFmtId="0" fontId="0" fillId="0" borderId="163" xfId="0" applyBorder="1" applyAlignment="1"/>
    <xf numFmtId="0" fontId="45" fillId="24" borderId="34" xfId="40" applyFont="1" applyFill="1" applyBorder="1" applyAlignment="1">
      <alignment horizontal="center" vertical="center" wrapText="1"/>
    </xf>
    <xf numFmtId="0" fontId="45" fillId="24" borderId="24" xfId="40" applyFont="1" applyFill="1" applyBorder="1" applyAlignment="1">
      <alignment horizontal="center" vertical="center" wrapText="1"/>
    </xf>
    <xf numFmtId="0" fontId="45" fillId="24" borderId="137" xfId="40" applyFont="1" applyFill="1" applyBorder="1" applyAlignment="1">
      <alignment horizontal="center" vertical="center" wrapText="1"/>
    </xf>
    <xf numFmtId="0" fontId="45" fillId="24" borderId="161" xfId="40" applyFont="1" applyFill="1" applyBorder="1" applyAlignment="1">
      <alignment horizontal="center" vertical="center" wrapText="1"/>
    </xf>
    <xf numFmtId="0" fontId="45" fillId="24" borderId="164" xfId="40" applyFont="1" applyFill="1" applyBorder="1" applyAlignment="1">
      <alignment horizontal="center" vertical="center" wrapText="1"/>
    </xf>
    <xf numFmtId="0" fontId="3" fillId="24" borderId="52" xfId="0" applyFont="1" applyFill="1" applyBorder="1" applyAlignment="1">
      <alignment horizontal="center" vertical="center" wrapText="1"/>
    </xf>
    <xf numFmtId="0" fontId="3" fillId="24" borderId="165" xfId="0" applyFont="1" applyFill="1" applyBorder="1" applyAlignment="1">
      <alignment horizontal="center" vertical="center" wrapText="1"/>
    </xf>
    <xf numFmtId="0" fontId="3" fillId="24" borderId="33" xfId="0" applyFont="1" applyFill="1" applyBorder="1" applyAlignment="1">
      <alignment horizontal="center" vertical="center" wrapText="1"/>
    </xf>
    <xf numFmtId="0" fontId="3" fillId="24" borderId="103" xfId="0" applyFont="1" applyFill="1" applyBorder="1" applyAlignment="1">
      <alignment horizontal="center" vertical="center" wrapText="1"/>
    </xf>
    <xf numFmtId="0" fontId="3" fillId="24" borderId="86" xfId="0" applyFont="1" applyFill="1" applyBorder="1" applyAlignment="1">
      <alignment horizontal="center" vertical="center" wrapText="1"/>
    </xf>
    <xf numFmtId="0" fontId="3" fillId="24" borderId="155" xfId="0" applyFont="1" applyFill="1" applyBorder="1" applyAlignment="1">
      <alignment horizontal="center" vertical="center" wrapText="1"/>
    </xf>
    <xf numFmtId="0" fontId="3" fillId="0" borderId="100"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24" borderId="161" xfId="0" applyFont="1" applyFill="1" applyBorder="1" applyAlignment="1">
      <alignment horizontal="center" vertical="center" wrapText="1"/>
    </xf>
    <xf numFmtId="0" fontId="3" fillId="24" borderId="164" xfId="0" applyFont="1" applyFill="1" applyBorder="1" applyAlignment="1">
      <alignment horizontal="center" vertical="center" wrapText="1"/>
    </xf>
    <xf numFmtId="0" fontId="3" fillId="24" borderId="34" xfId="0" applyFont="1" applyFill="1" applyBorder="1" applyAlignment="1">
      <alignment horizontal="center" vertical="center" wrapText="1"/>
    </xf>
    <xf numFmtId="0" fontId="3" fillId="24" borderId="137" xfId="0" applyFont="1" applyFill="1" applyBorder="1" applyAlignment="1">
      <alignment horizontal="center" vertical="center" wrapText="1"/>
    </xf>
    <xf numFmtId="0" fontId="3" fillId="24" borderId="24" xfId="0" applyFont="1" applyFill="1" applyBorder="1" applyAlignment="1">
      <alignment horizontal="center" vertical="center" wrapText="1"/>
    </xf>
    <xf numFmtId="0" fontId="2" fillId="24" borderId="0" xfId="0" applyFont="1" applyFill="1" applyAlignment="1">
      <alignment horizontal="left" vertical="center" wrapText="1"/>
    </xf>
    <xf numFmtId="0" fontId="1" fillId="24" borderId="0" xfId="0" applyFont="1" applyFill="1" applyAlignment="1">
      <alignment wrapText="1"/>
    </xf>
    <xf numFmtId="0" fontId="0" fillId="0" borderId="0" xfId="0" applyAlignment="1">
      <alignment wrapText="1"/>
    </xf>
    <xf numFmtId="0" fontId="2" fillId="24" borderId="0" xfId="0" applyFont="1" applyFill="1" applyAlignment="1">
      <alignment vertical="center" wrapText="1"/>
    </xf>
    <xf numFmtId="0" fontId="0" fillId="0" borderId="0" xfId="0" applyAlignment="1">
      <alignment vertical="center" wrapText="1"/>
    </xf>
    <xf numFmtId="0" fontId="1" fillId="24" borderId="0" xfId="0" applyFont="1" applyFill="1" applyAlignment="1">
      <alignment vertical="center" wrapText="1"/>
    </xf>
    <xf numFmtId="0" fontId="2" fillId="26" borderId="88" xfId="0" applyFont="1" applyFill="1" applyBorder="1" applyAlignment="1" applyProtection="1">
      <alignment horizontal="center" vertical="center" wrapText="1"/>
      <protection hidden="1"/>
    </xf>
    <xf numFmtId="0" fontId="2" fillId="26" borderId="166" xfId="0" applyFont="1" applyFill="1" applyBorder="1" applyAlignment="1" applyProtection="1">
      <alignment horizontal="center" vertical="center" wrapText="1"/>
      <protection hidden="1"/>
    </xf>
    <xf numFmtId="0" fontId="9" fillId="24" borderId="82" xfId="0" applyFont="1" applyFill="1" applyBorder="1" applyAlignment="1" applyProtection="1">
      <alignment horizontal="center"/>
      <protection hidden="1"/>
    </xf>
    <xf numFmtId="0" fontId="9" fillId="24" borderId="33" xfId="0" applyFont="1" applyFill="1" applyBorder="1" applyAlignment="1" applyProtection="1">
      <alignment horizontal="center"/>
      <protection hidden="1"/>
    </xf>
    <xf numFmtId="0" fontId="9" fillId="24" borderId="83" xfId="0" applyFont="1" applyFill="1" applyBorder="1" applyAlignment="1" applyProtection="1">
      <alignment horizontal="center"/>
      <protection hidden="1"/>
    </xf>
    <xf numFmtId="0" fontId="2" fillId="24" borderId="0" xfId="0" applyFont="1" applyFill="1" applyAlignment="1">
      <alignment horizontal="left" wrapText="1"/>
    </xf>
    <xf numFmtId="0" fontId="1" fillId="24" borderId="0" xfId="0" applyFont="1" applyFill="1" applyAlignment="1">
      <alignment horizontal="left" wrapText="1"/>
    </xf>
    <xf numFmtId="0" fontId="0" fillId="0" borderId="0" xfId="0"/>
    <xf numFmtId="0" fontId="56" fillId="24" borderId="12" xfId="0" applyFont="1" applyFill="1" applyBorder="1" applyAlignment="1">
      <alignment horizontal="center"/>
    </xf>
    <xf numFmtId="0" fontId="56" fillId="24" borderId="0" xfId="0" applyFont="1" applyFill="1" applyAlignment="1">
      <alignment horizontal="center"/>
    </xf>
    <xf numFmtId="0" fontId="11" fillId="24" borderId="34" xfId="0" applyFont="1" applyFill="1" applyBorder="1" applyAlignment="1">
      <alignment horizontal="center" vertical="center"/>
    </xf>
    <xf numFmtId="0" fontId="11" fillId="24" borderId="137" xfId="0" applyFont="1" applyFill="1" applyBorder="1" applyAlignment="1">
      <alignment horizontal="center" vertical="center"/>
    </xf>
    <xf numFmtId="0" fontId="9" fillId="24" borderId="34" xfId="0" applyFont="1" applyFill="1" applyBorder="1" applyAlignment="1">
      <alignment horizontal="center"/>
    </xf>
    <xf numFmtId="0" fontId="9" fillId="24" borderId="137" xfId="0" applyFont="1" applyFill="1" applyBorder="1" applyAlignment="1">
      <alignment horizontal="center"/>
    </xf>
    <xf numFmtId="0" fontId="11" fillId="24" borderId="34" xfId="0" applyFont="1" applyFill="1" applyBorder="1" applyAlignment="1">
      <alignment horizontal="left" vertical="center"/>
    </xf>
    <xf numFmtId="0" fontId="11" fillId="24" borderId="137" xfId="0" applyFont="1" applyFill="1" applyBorder="1" applyAlignment="1">
      <alignment horizontal="left" vertical="center"/>
    </xf>
    <xf numFmtId="0" fontId="9" fillId="24" borderId="167" xfId="0" applyFont="1" applyFill="1" applyBorder="1" applyAlignment="1">
      <alignment horizontal="center"/>
    </xf>
    <xf numFmtId="0" fontId="9" fillId="24" borderId="168" xfId="0" applyFont="1" applyFill="1" applyBorder="1" applyAlignment="1">
      <alignment horizontal="center"/>
    </xf>
    <xf numFmtId="3" fontId="9" fillId="24" borderId="167" xfId="0" applyNumberFormat="1" applyFont="1" applyFill="1" applyBorder="1" applyAlignment="1">
      <alignment horizontal="center" vertical="center"/>
    </xf>
    <xf numFmtId="3" fontId="9" fillId="24" borderId="137" xfId="0" applyNumberFormat="1" applyFont="1" applyFill="1" applyBorder="1" applyAlignment="1">
      <alignment horizontal="center" vertical="center"/>
    </xf>
    <xf numFmtId="0" fontId="9" fillId="24" borderId="0" xfId="0" applyFont="1" applyFill="1" applyBorder="1" applyAlignment="1" applyProtection="1">
      <alignment horizontal="left"/>
      <protection hidden="1"/>
    </xf>
    <xf numFmtId="0" fontId="9" fillId="24" borderId="169" xfId="0" applyFont="1" applyFill="1" applyBorder="1" applyAlignment="1" applyProtection="1">
      <alignment horizontal="center"/>
      <protection hidden="1"/>
    </xf>
    <xf numFmtId="0" fontId="9" fillId="24" borderId="170" xfId="0" applyFont="1" applyFill="1" applyBorder="1" applyAlignment="1" applyProtection="1">
      <alignment horizontal="center"/>
      <protection hidden="1"/>
    </xf>
    <xf numFmtId="0" fontId="29" fillId="0" borderId="17" xfId="39" applyFont="1" applyBorder="1" applyAlignment="1" applyProtection="1">
      <alignment wrapText="1"/>
      <protection hidden="1"/>
    </xf>
    <xf numFmtId="0" fontId="29" fillId="0" borderId="103" xfId="39" applyFont="1" applyBorder="1" applyAlignment="1" applyProtection="1">
      <alignment wrapText="1"/>
      <protection hidden="1"/>
    </xf>
    <xf numFmtId="0" fontId="29" fillId="0" borderId="104" xfId="39" applyFont="1" applyBorder="1" applyAlignment="1" applyProtection="1">
      <alignment wrapText="1"/>
      <protection hidden="1"/>
    </xf>
    <xf numFmtId="0" fontId="37" fillId="24" borderId="34" xfId="39" applyFont="1" applyFill="1" applyBorder="1" applyAlignment="1" applyProtection="1">
      <alignment horizontal="center"/>
      <protection hidden="1"/>
    </xf>
    <xf numFmtId="0" fontId="37" fillId="24" borderId="24" xfId="39" applyFont="1" applyFill="1" applyBorder="1" applyAlignment="1" applyProtection="1">
      <alignment horizontal="center"/>
      <protection hidden="1"/>
    </xf>
    <xf numFmtId="0" fontId="37" fillId="24" borderId="137" xfId="39" applyFont="1" applyFill="1" applyBorder="1" applyAlignment="1" applyProtection="1">
      <alignment horizontal="center"/>
      <protection hidden="1"/>
    </xf>
    <xf numFmtId="0" fontId="29" fillId="24" borderId="0" xfId="39" applyFont="1" applyFill="1" applyBorder="1" applyAlignment="1" applyProtection="1">
      <alignment horizontal="left" vertical="center" wrapText="1"/>
      <protection hidden="1"/>
    </xf>
    <xf numFmtId="0" fontId="45" fillId="24" borderId="145" xfId="39" applyFont="1" applyFill="1" applyBorder="1" applyAlignment="1" applyProtection="1">
      <alignment horizontal="center" vertical="center" wrapText="1"/>
      <protection hidden="1"/>
    </xf>
    <xf numFmtId="0" fontId="45" fillId="24" borderId="171" xfId="39" applyFont="1" applyFill="1" applyBorder="1" applyAlignment="1" applyProtection="1">
      <alignment horizontal="center" vertical="center" wrapText="1"/>
      <protection hidden="1"/>
    </xf>
    <xf numFmtId="0" fontId="29" fillId="24" borderId="100" xfId="39" applyFont="1" applyFill="1" applyBorder="1" applyAlignment="1" applyProtection="1">
      <alignment horizontal="left" vertical="center" wrapText="1"/>
      <protection hidden="1"/>
    </xf>
    <xf numFmtId="0" fontId="29" fillId="24" borderId="101" xfId="39" applyFont="1" applyFill="1" applyBorder="1" applyAlignment="1" applyProtection="1">
      <alignment horizontal="left" vertical="center" wrapText="1"/>
      <protection hidden="1"/>
    </xf>
    <xf numFmtId="0" fontId="45" fillId="24" borderId="153" xfId="39" applyFont="1" applyFill="1" applyBorder="1" applyAlignment="1" applyProtection="1">
      <alignment horizontal="center" vertical="center"/>
      <protection hidden="1"/>
    </xf>
    <xf numFmtId="0" fontId="45" fillId="24" borderId="172" xfId="39" applyFont="1" applyFill="1" applyBorder="1" applyAlignment="1" applyProtection="1">
      <alignment horizontal="center" vertical="center"/>
      <protection hidden="1"/>
    </xf>
    <xf numFmtId="0" fontId="45" fillId="24" borderId="173" xfId="39" applyFont="1" applyFill="1" applyBorder="1" applyAlignment="1" applyProtection="1">
      <alignment horizontal="center" vertical="center"/>
      <protection hidden="1"/>
    </xf>
    <xf numFmtId="0" fontId="45" fillId="24" borderId="152" xfId="39" applyFont="1" applyFill="1" applyBorder="1" applyAlignment="1" applyProtection="1">
      <alignment horizontal="center" vertical="center"/>
      <protection hidden="1"/>
    </xf>
    <xf numFmtId="0" fontId="37" fillId="24" borderId="0" xfId="39" applyFont="1" applyFill="1" applyBorder="1" applyAlignment="1" applyProtection="1">
      <alignment horizontal="center" vertical="center" wrapText="1"/>
      <protection hidden="1"/>
    </xf>
    <xf numFmtId="0" fontId="37" fillId="24" borderId="103" xfId="39" applyFont="1" applyFill="1" applyBorder="1" applyAlignment="1" applyProtection="1">
      <alignment horizontal="center" vertical="center" wrapText="1"/>
      <protection hidden="1"/>
    </xf>
    <xf numFmtId="0" fontId="37" fillId="24" borderId="48" xfId="39" applyFont="1" applyFill="1" applyBorder="1" applyAlignment="1" applyProtection="1">
      <alignment vertical="center"/>
      <protection hidden="1"/>
    </xf>
    <xf numFmtId="0" fontId="0" fillId="0" borderId="102" xfId="0" applyBorder="1" applyAlignment="1">
      <alignment vertical="center"/>
    </xf>
    <xf numFmtId="0" fontId="0" fillId="0" borderId="165" xfId="0" applyBorder="1" applyAlignment="1">
      <alignment vertical="center"/>
    </xf>
    <xf numFmtId="0" fontId="0" fillId="0" borderId="104" xfId="0" applyBorder="1" applyAlignment="1">
      <alignment vertical="center"/>
    </xf>
    <xf numFmtId="0" fontId="32" fillId="0" borderId="29" xfId="39" applyFont="1" applyBorder="1" applyAlignment="1" applyProtection="1">
      <alignment horizontal="center"/>
      <protection hidden="1"/>
    </xf>
    <xf numFmtId="0" fontId="37" fillId="24" borderId="102" xfId="39" applyFont="1" applyFill="1" applyBorder="1" applyAlignment="1" applyProtection="1">
      <alignment horizontal="center" vertical="center"/>
      <protection hidden="1"/>
    </xf>
    <xf numFmtId="0" fontId="37" fillId="24" borderId="104" xfId="39" applyFont="1" applyFill="1" applyBorder="1" applyAlignment="1" applyProtection="1">
      <alignment horizontal="center" vertical="center"/>
      <protection hidden="1"/>
    </xf>
    <xf numFmtId="0" fontId="37" fillId="24" borderId="101" xfId="39" applyFont="1" applyFill="1" applyBorder="1" applyAlignment="1" applyProtection="1">
      <alignment horizontal="left" vertical="top" wrapText="1" indent="1"/>
      <protection hidden="1"/>
    </xf>
    <xf numFmtId="0" fontId="37" fillId="24" borderId="102" xfId="39" applyFont="1" applyFill="1" applyBorder="1" applyAlignment="1" applyProtection="1">
      <alignment horizontal="left" vertical="top" wrapText="1" indent="1"/>
      <protection hidden="1"/>
    </xf>
    <xf numFmtId="0" fontId="29" fillId="24" borderId="59" xfId="39" applyFont="1" applyFill="1" applyBorder="1" applyAlignment="1" applyProtection="1">
      <alignment horizontal="center" vertical="center"/>
      <protection hidden="1"/>
    </xf>
    <xf numFmtId="0" fontId="29" fillId="24" borderId="20" xfId="39" applyFont="1" applyFill="1" applyBorder="1" applyAlignment="1" applyProtection="1">
      <alignment horizontal="center" vertical="center"/>
      <protection hidden="1"/>
    </xf>
    <xf numFmtId="0" fontId="29" fillId="24" borderId="22" xfId="39" applyFont="1" applyFill="1" applyBorder="1" applyAlignment="1" applyProtection="1">
      <alignment horizontal="center" vertical="center"/>
      <protection hidden="1"/>
    </xf>
    <xf numFmtId="0" fontId="37" fillId="0" borderId="34" xfId="39" applyFont="1" applyBorder="1" applyAlignment="1" applyProtection="1">
      <alignment horizontal="left" vertical="top" wrapText="1" indent="1"/>
      <protection hidden="1"/>
    </xf>
    <xf numFmtId="0" fontId="37" fillId="0" borderId="24" xfId="39" applyFont="1" applyBorder="1" applyAlignment="1" applyProtection="1">
      <alignment horizontal="left" vertical="top" wrapText="1" indent="1"/>
      <protection hidden="1"/>
    </xf>
    <xf numFmtId="0" fontId="37" fillId="0" borderId="137" xfId="39" applyFont="1" applyBorder="1" applyAlignment="1" applyProtection="1">
      <alignment horizontal="left" vertical="top" wrapText="1" indent="1"/>
      <protection hidden="1"/>
    </xf>
    <xf numFmtId="0" fontId="29" fillId="24" borderId="10" xfId="39" applyFont="1" applyFill="1" applyBorder="1" applyAlignment="1" applyProtection="1">
      <alignment horizontal="left" vertical="center" wrapText="1"/>
      <protection hidden="1"/>
    </xf>
    <xf numFmtId="0" fontId="29" fillId="24" borderId="29" xfId="39" applyFont="1" applyFill="1" applyBorder="1" applyAlignment="1" applyProtection="1">
      <alignment horizontal="left" vertical="center" wrapText="1"/>
      <protection hidden="1"/>
    </xf>
    <xf numFmtId="0" fontId="29" fillId="28" borderId="0" xfId="39" applyFont="1" applyFill="1" applyAlignment="1" applyProtection="1">
      <alignment horizontal="center" wrapText="1"/>
      <protection hidden="1"/>
    </xf>
    <xf numFmtId="0" fontId="37" fillId="24" borderId="156" xfId="39" applyFont="1" applyFill="1" applyBorder="1" applyAlignment="1" applyProtection="1">
      <alignment horizontal="center"/>
      <protection hidden="1"/>
    </xf>
    <xf numFmtId="0" fontId="45" fillId="24" borderId="106" xfId="39" applyFont="1" applyFill="1" applyBorder="1" applyAlignment="1" applyProtection="1">
      <alignment horizontal="left" vertical="center" wrapText="1"/>
      <protection hidden="1"/>
    </xf>
    <xf numFmtId="0" fontId="45" fillId="24" borderId="130" xfId="39" applyFont="1" applyFill="1" applyBorder="1" applyAlignment="1" applyProtection="1">
      <alignment horizontal="left" vertical="center" wrapText="1"/>
      <protection hidden="1"/>
    </xf>
    <xf numFmtId="0" fontId="32" fillId="24" borderId="33" xfId="39" applyFont="1" applyFill="1" applyBorder="1" applyAlignment="1" applyProtection="1">
      <alignment vertical="center"/>
      <protection hidden="1"/>
    </xf>
    <xf numFmtId="0" fontId="68" fillId="0" borderId="33" xfId="39" applyBorder="1" applyAlignment="1" applyProtection="1">
      <alignment vertical="center"/>
      <protection hidden="1"/>
    </xf>
    <xf numFmtId="0" fontId="45" fillId="24" borderId="100" xfId="39" applyFont="1" applyFill="1" applyBorder="1" applyAlignment="1" applyProtection="1">
      <alignment horizontal="center" vertical="center" wrapText="1"/>
      <protection hidden="1"/>
    </xf>
    <xf numFmtId="0" fontId="0" fillId="0" borderId="174" xfId="0" applyBorder="1"/>
    <xf numFmtId="0" fontId="37" fillId="24" borderId="10" xfId="39" applyFont="1" applyFill="1" applyBorder="1" applyAlignment="1" applyProtection="1">
      <alignment horizontal="center" vertical="center" wrapText="1"/>
      <protection hidden="1"/>
    </xf>
    <xf numFmtId="0" fontId="37" fillId="24" borderId="17" xfId="39" applyFont="1" applyFill="1" applyBorder="1" applyAlignment="1" applyProtection="1">
      <alignment horizontal="center" vertical="center" wrapText="1"/>
      <protection hidden="1"/>
    </xf>
    <xf numFmtId="0" fontId="37" fillId="24" borderId="49" xfId="39" applyFont="1" applyFill="1" applyBorder="1" applyAlignment="1" applyProtection="1">
      <alignment horizontal="center" vertical="center"/>
      <protection hidden="1"/>
    </xf>
    <xf numFmtId="0" fontId="0" fillId="0" borderId="146" xfId="0" applyBorder="1" applyAlignment="1" applyProtection="1">
      <alignment horizontal="center" vertical="center"/>
      <protection hidden="1"/>
    </xf>
    <xf numFmtId="0" fontId="45" fillId="24" borderId="133" xfId="39" applyFont="1" applyFill="1" applyBorder="1" applyAlignment="1" applyProtection="1">
      <alignment horizontal="center" vertical="center" wrapText="1"/>
      <protection hidden="1"/>
    </xf>
    <xf numFmtId="0" fontId="45" fillId="24" borderId="176" xfId="39" applyFont="1" applyFill="1" applyBorder="1" applyAlignment="1" applyProtection="1">
      <alignment horizontal="center" vertical="center"/>
      <protection hidden="1"/>
    </xf>
    <xf numFmtId="0" fontId="45" fillId="24" borderId="164" xfId="39" applyFont="1" applyFill="1" applyBorder="1" applyAlignment="1" applyProtection="1">
      <alignment horizontal="center" vertical="center"/>
      <protection hidden="1"/>
    </xf>
    <xf numFmtId="0" fontId="45" fillId="24" borderId="0" xfId="39" applyFont="1" applyFill="1" applyAlignment="1" applyProtection="1">
      <alignment horizontal="left" wrapText="1"/>
      <protection hidden="1"/>
    </xf>
    <xf numFmtId="0" fontId="45" fillId="24" borderId="33" xfId="39" applyFont="1" applyFill="1" applyBorder="1" applyAlignment="1" applyProtection="1">
      <alignment horizontal="center" vertical="center" wrapText="1"/>
      <protection hidden="1"/>
    </xf>
    <xf numFmtId="0" fontId="45" fillId="24" borderId="103" xfId="39" applyFont="1" applyFill="1" applyBorder="1" applyAlignment="1" applyProtection="1">
      <alignment horizontal="center" vertical="center" wrapText="1"/>
      <protection hidden="1"/>
    </xf>
    <xf numFmtId="0" fontId="37" fillId="24" borderId="101" xfId="39" applyFont="1" applyFill="1" applyBorder="1" applyAlignment="1" applyProtection="1">
      <alignment horizontal="center" vertical="center" wrapText="1"/>
      <protection hidden="1"/>
    </xf>
    <xf numFmtId="0" fontId="37" fillId="24" borderId="138" xfId="39" applyFont="1" applyFill="1" applyBorder="1" applyAlignment="1" applyProtection="1">
      <alignment horizontal="center"/>
      <protection hidden="1"/>
    </xf>
    <xf numFmtId="0" fontId="45" fillId="26" borderId="17" xfId="39" applyFont="1" applyFill="1" applyBorder="1" applyAlignment="1" applyProtection="1">
      <alignment horizontal="center" vertical="center" wrapText="1"/>
      <protection locked="0" hidden="1"/>
    </xf>
    <xf numFmtId="0" fontId="45" fillId="26" borderId="175" xfId="39" applyFont="1" applyFill="1" applyBorder="1" applyAlignment="1" applyProtection="1">
      <alignment horizontal="center" vertical="center" wrapText="1"/>
      <protection locked="0" hidden="1"/>
    </xf>
    <xf numFmtId="0" fontId="45" fillId="24" borderId="15" xfId="39" applyFont="1" applyFill="1" applyBorder="1" applyAlignment="1" applyProtection="1">
      <alignment horizontal="center" vertical="center"/>
      <protection hidden="1"/>
    </xf>
    <xf numFmtId="0" fontId="45" fillId="24" borderId="18" xfId="39" applyFont="1" applyFill="1" applyBorder="1" applyAlignment="1" applyProtection="1">
      <alignment horizontal="center" vertical="center"/>
      <protection hidden="1"/>
    </xf>
    <xf numFmtId="0" fontId="37" fillId="24" borderId="101" xfId="39" applyFont="1" applyFill="1" applyBorder="1" applyAlignment="1" applyProtection="1">
      <alignment horizontal="center" vertical="center"/>
      <protection hidden="1"/>
    </xf>
    <xf numFmtId="0" fontId="37" fillId="24" borderId="103" xfId="39" applyFont="1" applyFill="1" applyBorder="1" applyAlignment="1" applyProtection="1">
      <alignment horizontal="center" vertical="center"/>
      <protection hidden="1"/>
    </xf>
    <xf numFmtId="0" fontId="2" fillId="24" borderId="0" xfId="0" applyFont="1" applyFill="1" applyAlignment="1" applyProtection="1">
      <alignment horizontal="left"/>
      <protection hidden="1"/>
    </xf>
    <xf numFmtId="0" fontId="32" fillId="24" borderId="0" xfId="0" applyFont="1" applyFill="1" applyBorder="1" applyAlignment="1" applyProtection="1">
      <alignment horizontal="left"/>
      <protection hidden="1"/>
    </xf>
    <xf numFmtId="0" fontId="3" fillId="24" borderId="30" xfId="0" applyFont="1" applyFill="1" applyBorder="1" applyAlignment="1" applyProtection="1">
      <alignment vertical="center"/>
      <protection hidden="1"/>
    </xf>
    <xf numFmtId="0" fontId="0" fillId="0" borderId="31" xfId="0" applyBorder="1" applyAlignment="1">
      <alignment vertical="center"/>
    </xf>
    <xf numFmtId="0" fontId="2" fillId="24" borderId="0" xfId="0" applyFont="1" applyFill="1" applyAlignment="1" applyProtection="1">
      <alignment horizontal="left" wrapText="1"/>
      <protection hidden="1"/>
    </xf>
    <xf numFmtId="0" fontId="65" fillId="24" borderId="11" xfId="35" applyFont="1" applyFill="1" applyBorder="1" applyAlignment="1" applyProtection="1">
      <alignment horizontal="center" vertical="center"/>
      <protection hidden="1"/>
    </xf>
    <xf numFmtId="0" fontId="9" fillId="24" borderId="52" xfId="0" applyFont="1" applyFill="1" applyBorder="1" applyAlignment="1" applyProtection="1">
      <alignment horizontal="center"/>
      <protection hidden="1"/>
    </xf>
    <xf numFmtId="0" fontId="2" fillId="24" borderId="0" xfId="0" applyFont="1" applyFill="1" applyAlignment="1" applyProtection="1">
      <alignment horizontal="left" vertical="center" wrapText="1"/>
      <protection hidden="1"/>
    </xf>
    <xf numFmtId="0" fontId="65" fillId="24" borderId="11" xfId="35" applyFont="1" applyFill="1" applyBorder="1" applyAlignment="1" applyProtection="1">
      <alignment horizontal="center" vertical="top"/>
      <protection hidden="1"/>
    </xf>
    <xf numFmtId="0" fontId="65" fillId="24" borderId="0" xfId="35" applyFont="1" applyFill="1" applyAlignment="1" applyProtection="1">
      <alignment horizontal="left" vertical="center" wrapText="1"/>
      <protection hidden="1"/>
    </xf>
    <xf numFmtId="0" fontId="2" fillId="24" borderId="0" xfId="0" applyFont="1" applyFill="1" applyAlignment="1" applyProtection="1">
      <alignment horizontal="center"/>
      <protection hidden="1"/>
    </xf>
    <xf numFmtId="0" fontId="65" fillId="24" borderId="39" xfId="35" applyFont="1" applyFill="1" applyBorder="1" applyAlignment="1" applyProtection="1">
      <alignment horizontal="center" vertical="center"/>
      <protection hidden="1"/>
    </xf>
    <xf numFmtId="0" fontId="3" fillId="24" borderId="0" xfId="0" applyFont="1" applyFill="1" applyBorder="1" applyAlignment="1" applyProtection="1">
      <alignment horizontal="left"/>
      <protection hidden="1"/>
    </xf>
    <xf numFmtId="0" fontId="3" fillId="24" borderId="100" xfId="0" applyFont="1" applyFill="1" applyBorder="1" applyAlignment="1" applyProtection="1">
      <alignment horizontal="center" vertical="center"/>
      <protection hidden="1"/>
    </xf>
    <xf numFmtId="0" fontId="3" fillId="24" borderId="101" xfId="0" applyFont="1" applyFill="1" applyBorder="1" applyAlignment="1" applyProtection="1">
      <alignment horizontal="center" vertical="center"/>
      <protection hidden="1"/>
    </xf>
    <xf numFmtId="0" fontId="3" fillId="24" borderId="102" xfId="0" applyFont="1" applyFill="1" applyBorder="1" applyAlignment="1" applyProtection="1">
      <alignment horizontal="center" vertical="center"/>
      <protection hidden="1"/>
    </xf>
    <xf numFmtId="0" fontId="3" fillId="24" borderId="17" xfId="0" applyFont="1" applyFill="1" applyBorder="1" applyAlignment="1" applyProtection="1">
      <alignment horizontal="center" vertical="center"/>
      <protection hidden="1"/>
    </xf>
    <xf numFmtId="0" fontId="3" fillId="24" borderId="103" xfId="0" applyFont="1" applyFill="1" applyBorder="1" applyAlignment="1" applyProtection="1">
      <alignment horizontal="center" vertical="center"/>
      <protection hidden="1"/>
    </xf>
    <xf numFmtId="0" fontId="3" fillId="24" borderId="104" xfId="0" applyFont="1" applyFill="1" applyBorder="1" applyAlignment="1" applyProtection="1">
      <alignment horizontal="center" vertical="center"/>
      <protection hidden="1"/>
    </xf>
    <xf numFmtId="0" fontId="3" fillId="26" borderId="71" xfId="0" applyFont="1" applyFill="1" applyBorder="1" applyAlignment="1" applyProtection="1">
      <alignment horizontal="center" vertical="center" wrapText="1"/>
      <protection hidden="1"/>
    </xf>
    <xf numFmtId="0" fontId="3" fillId="26" borderId="57" xfId="0" applyFont="1" applyFill="1" applyBorder="1" applyAlignment="1" applyProtection="1">
      <alignment horizontal="center" vertical="center" wrapText="1"/>
      <protection hidden="1"/>
    </xf>
    <xf numFmtId="0" fontId="3" fillId="26" borderId="72" xfId="0" applyFont="1" applyFill="1" applyBorder="1" applyAlignment="1" applyProtection="1">
      <alignment horizontal="center" vertical="center" wrapText="1"/>
      <protection hidden="1"/>
    </xf>
    <xf numFmtId="0" fontId="32" fillId="24" borderId="139" xfId="0" applyFont="1" applyFill="1" applyBorder="1" applyAlignment="1" applyProtection="1">
      <alignment horizontal="center"/>
      <protection hidden="1"/>
    </xf>
    <xf numFmtId="0" fontId="32" fillId="24" borderId="128" xfId="0" applyFont="1" applyFill="1" applyBorder="1" applyAlignment="1" applyProtection="1">
      <alignment horizontal="center"/>
      <protection hidden="1"/>
    </xf>
    <xf numFmtId="0" fontId="67" fillId="24" borderId="0" xfId="0" applyFont="1" applyFill="1" applyAlignment="1" applyProtection="1">
      <alignment horizontal="left" wrapText="1"/>
      <protection hidden="1"/>
    </xf>
    <xf numFmtId="0" fontId="67" fillId="24" borderId="0" xfId="0" applyFont="1" applyFill="1" applyAlignment="1" applyProtection="1">
      <alignment horizontal="left" vertical="center" wrapText="1"/>
      <protection hidden="1"/>
    </xf>
    <xf numFmtId="0" fontId="67" fillId="0" borderId="0" xfId="0" applyFont="1" applyAlignment="1">
      <alignment horizontal="left" vertical="center" wrapText="1"/>
    </xf>
    <xf numFmtId="0" fontId="3" fillId="24" borderId="169" xfId="0" applyFont="1" applyFill="1" applyBorder="1" applyAlignment="1" applyProtection="1">
      <alignment horizontal="center" vertical="center" wrapText="1"/>
      <protection hidden="1"/>
    </xf>
    <xf numFmtId="0" fontId="3" fillId="24" borderId="177" xfId="0" applyFont="1" applyFill="1" applyBorder="1" applyAlignment="1" applyProtection="1">
      <alignment horizontal="center" vertical="center" wrapText="1"/>
      <protection hidden="1"/>
    </xf>
    <xf numFmtId="0" fontId="3" fillId="24" borderId="153" xfId="0" applyFont="1" applyFill="1" applyBorder="1" applyAlignment="1" applyProtection="1">
      <alignment horizontal="left" vertical="center" wrapText="1"/>
      <protection hidden="1"/>
    </xf>
    <xf numFmtId="0" fontId="0" fillId="0" borderId="172" xfId="0" applyBorder="1" applyAlignment="1" applyProtection="1">
      <alignment horizontal="left" vertical="center" wrapText="1"/>
      <protection hidden="1"/>
    </xf>
    <xf numFmtId="0" fontId="11" fillId="24" borderId="100" xfId="0" applyFont="1" applyFill="1" applyBorder="1" applyAlignment="1" applyProtection="1">
      <alignment horizontal="center" vertical="center"/>
      <protection hidden="1"/>
    </xf>
    <xf numFmtId="0" fontId="11" fillId="24" borderId="101" xfId="0" applyFont="1" applyFill="1" applyBorder="1" applyAlignment="1" applyProtection="1">
      <alignment horizontal="center" vertical="center"/>
      <protection hidden="1"/>
    </xf>
    <xf numFmtId="0" fontId="11" fillId="24" borderId="102" xfId="0" applyFont="1" applyFill="1" applyBorder="1" applyAlignment="1" applyProtection="1">
      <alignment horizontal="center" vertical="center"/>
      <protection hidden="1"/>
    </xf>
    <xf numFmtId="0" fontId="11" fillId="24" borderId="17" xfId="0" applyFont="1" applyFill="1" applyBorder="1" applyAlignment="1" applyProtection="1">
      <alignment horizontal="center" vertical="center"/>
      <protection hidden="1"/>
    </xf>
    <xf numFmtId="0" fontId="11" fillId="24" borderId="103" xfId="0" applyFont="1" applyFill="1" applyBorder="1" applyAlignment="1" applyProtection="1">
      <alignment horizontal="center" vertical="center"/>
      <protection hidden="1"/>
    </xf>
    <xf numFmtId="0" fontId="11" fillId="24" borderId="104" xfId="0" applyFont="1" applyFill="1" applyBorder="1" applyAlignment="1" applyProtection="1">
      <alignment horizontal="center" vertical="center"/>
      <protection hidden="1"/>
    </xf>
    <xf numFmtId="0" fontId="3" fillId="24" borderId="15" xfId="0" applyFont="1" applyFill="1" applyBorder="1" applyAlignment="1" applyProtection="1">
      <alignment horizontal="center" vertical="center" wrapText="1"/>
      <protection hidden="1"/>
    </xf>
    <xf numFmtId="0" fontId="3" fillId="24" borderId="16" xfId="0" applyFont="1" applyFill="1" applyBorder="1" applyAlignment="1" applyProtection="1">
      <alignment horizontal="center" vertical="center" wrapText="1"/>
      <protection hidden="1"/>
    </xf>
    <xf numFmtId="0" fontId="3" fillId="24" borderId="178" xfId="0" applyFont="1" applyFill="1" applyBorder="1" applyAlignment="1" applyProtection="1">
      <alignment horizontal="center" vertical="center" wrapText="1"/>
      <protection hidden="1"/>
    </xf>
    <xf numFmtId="0" fontId="9" fillId="24" borderId="19" xfId="0" applyFont="1" applyFill="1" applyBorder="1" applyAlignment="1" applyProtection="1">
      <alignment horizontal="center"/>
      <protection hidden="1"/>
    </xf>
    <xf numFmtId="0" fontId="9" fillId="24" borderId="20" xfId="0" applyFont="1" applyFill="1" applyBorder="1" applyAlignment="1" applyProtection="1">
      <alignment horizontal="center"/>
      <protection hidden="1"/>
    </xf>
    <xf numFmtId="0" fontId="9" fillId="24" borderId="22" xfId="0" applyFont="1" applyFill="1" applyBorder="1" applyAlignment="1" applyProtection="1">
      <alignment horizontal="center"/>
      <protection hidden="1"/>
    </xf>
    <xf numFmtId="0" fontId="45" fillId="24" borderId="54" xfId="40" applyFont="1" applyFill="1" applyBorder="1" applyAlignment="1">
      <alignment horizontal="center" vertical="center" wrapText="1"/>
    </xf>
    <xf numFmtId="0" fontId="45" fillId="24" borderId="146" xfId="40" applyFont="1" applyFill="1" applyBorder="1" applyAlignment="1">
      <alignment horizontal="center" vertical="center" wrapText="1"/>
    </xf>
    <xf numFmtId="0" fontId="45" fillId="24" borderId="15" xfId="40" applyFont="1" applyFill="1" applyBorder="1" applyAlignment="1">
      <alignment horizontal="center" vertical="center" wrapText="1"/>
    </xf>
    <xf numFmtId="0" fontId="45" fillId="24" borderId="18" xfId="40" applyFont="1" applyFill="1" applyBorder="1" applyAlignment="1">
      <alignment horizontal="center" vertical="center" wrapText="1"/>
    </xf>
    <xf numFmtId="0" fontId="45" fillId="24" borderId="156" xfId="40" applyFont="1" applyFill="1" applyBorder="1" applyAlignment="1">
      <alignment horizontal="center" vertical="center" wrapText="1"/>
    </xf>
    <xf numFmtId="0" fontId="45" fillId="24" borderId="19" xfId="40" applyFont="1" applyFill="1" applyBorder="1" applyAlignment="1">
      <alignment horizontal="center" vertical="center" wrapText="1"/>
    </xf>
    <xf numFmtId="0" fontId="45" fillId="24" borderId="20" xfId="40" applyFont="1" applyFill="1" applyBorder="1" applyAlignment="1">
      <alignment horizontal="center" vertical="center" wrapText="1"/>
    </xf>
    <xf numFmtId="0" fontId="45" fillId="24" borderId="22" xfId="40" applyFont="1" applyFill="1" applyBorder="1" applyAlignment="1">
      <alignment horizontal="center" vertical="center" wrapText="1"/>
    </xf>
    <xf numFmtId="0" fontId="45" fillId="24" borderId="140" xfId="40" applyFont="1" applyFill="1" applyBorder="1" applyAlignment="1">
      <alignment horizontal="center" vertical="center" wrapText="1"/>
    </xf>
    <xf numFmtId="0" fontId="45" fillId="24" borderId="149" xfId="40" applyFont="1" applyFill="1" applyBorder="1" applyAlignment="1">
      <alignment horizontal="center" vertical="center" wrapText="1"/>
    </xf>
    <xf numFmtId="0" fontId="45" fillId="24" borderId="179" xfId="40" applyFont="1" applyFill="1" applyBorder="1" applyAlignment="1">
      <alignment horizontal="center" vertical="center" wrapText="1"/>
    </xf>
    <xf numFmtId="0" fontId="45" fillId="24" borderId="177" xfId="40" applyFont="1" applyFill="1" applyBorder="1" applyAlignment="1">
      <alignment horizontal="center" vertical="center" wrapText="1"/>
    </xf>
    <xf numFmtId="0" fontId="45" fillId="24" borderId="102" xfId="40" applyFont="1" applyFill="1" applyBorder="1" applyAlignment="1">
      <alignment horizontal="center" vertical="center" wrapText="1"/>
    </xf>
    <xf numFmtId="0" fontId="45" fillId="24" borderId="104" xfId="40" applyFont="1" applyFill="1" applyBorder="1" applyAlignment="1">
      <alignment horizontal="center" vertical="center" wrapText="1"/>
    </xf>
    <xf numFmtId="0" fontId="45" fillId="24" borderId="100" xfId="40" applyFont="1" applyFill="1" applyBorder="1" applyAlignment="1">
      <alignment horizontal="center" vertical="center" wrapText="1"/>
    </xf>
    <xf numFmtId="0" fontId="45" fillId="24" borderId="17" xfId="40" applyFont="1" applyFill="1" applyBorder="1" applyAlignment="1">
      <alignment horizontal="center" vertical="center" wrapText="1"/>
    </xf>
    <xf numFmtId="0" fontId="7" fillId="24" borderId="0" xfId="43" applyFont="1" applyFill="1" applyBorder="1" applyAlignment="1" applyProtection="1">
      <alignment horizontal="left" wrapText="1"/>
      <protection hidden="1"/>
    </xf>
    <xf numFmtId="0" fontId="7" fillId="24" borderId="0" xfId="43" applyFont="1" applyFill="1" applyBorder="1" applyAlignment="1" applyProtection="1">
      <alignment horizontal="left" vertical="top" wrapText="1"/>
      <protection hidden="1"/>
    </xf>
    <xf numFmtId="0" fontId="33" fillId="24" borderId="0" xfId="43" applyFont="1" applyFill="1" applyBorder="1" applyAlignment="1" applyProtection="1">
      <alignment horizontal="left" wrapText="1"/>
      <protection hidden="1"/>
    </xf>
    <xf numFmtId="0" fontId="9" fillId="24" borderId="0" xfId="43" applyFont="1" applyFill="1" applyBorder="1" applyAlignment="1" applyProtection="1">
      <alignment horizontal="left" wrapText="1"/>
      <protection hidden="1"/>
    </xf>
    <xf numFmtId="0" fontId="58" fillId="24" borderId="0" xfId="43" applyFont="1" applyFill="1" applyBorder="1" applyAlignment="1" applyProtection="1">
      <alignment horizontal="left" vertical="center" wrapText="1"/>
      <protection hidden="1"/>
    </xf>
    <xf numFmtId="0" fontId="58" fillId="24" borderId="0" xfId="43" applyFont="1" applyFill="1" applyBorder="1" applyAlignment="1" applyProtection="1">
      <alignment horizontal="center" vertical="center"/>
      <protection hidden="1"/>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2" xfId="39"/>
    <cellStyle name="Normal_depression calcs QA LW" xfId="40"/>
    <cellStyle name="Normal_GD mgt and tests1" xfId="41"/>
    <cellStyle name="Normal_SIGN 111 Management of hip fracture in older people - costing template" xfId="42"/>
    <cellStyle name="Normal_SIGN Management of Genital Chlamydia trachomatis Infection Costing tool" xfId="43"/>
    <cellStyle name="Normal_Stents with diabetes 30 03 10" xfId="44"/>
    <cellStyle name="Note" xfId="45" builtinId="10" customBuiltin="1"/>
    <cellStyle name="Output" xfId="46" builtinId="21" customBuiltin="1"/>
    <cellStyle name="Title" xfId="47" builtinId="15" customBuiltin="1"/>
    <cellStyle name="Total" xfId="48" builtinId="25" customBuiltin="1"/>
    <cellStyle name="Warning Text" xfId="49"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476250</xdr:colOff>
      <xdr:row>45</xdr:row>
      <xdr:rowOff>66675</xdr:rowOff>
    </xdr:to>
    <xdr:pic>
      <xdr:nvPicPr>
        <xdr:cNvPr id="1027" name="Picture 1" descr="diabetescover_costing-template-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72250" cy="86391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0</xdr:colOff>
      <xdr:row>0</xdr:row>
      <xdr:rowOff>257175</xdr:rowOff>
    </xdr:from>
    <xdr:to>
      <xdr:col>9</xdr:col>
      <xdr:colOff>28575</xdr:colOff>
      <xdr:row>0</xdr:row>
      <xdr:rowOff>981075</xdr:rowOff>
    </xdr:to>
    <xdr:pic>
      <xdr:nvPicPr>
        <xdr:cNvPr id="10243" name="Picture 19" descr="qis_logo"/>
        <xdr:cNvPicPr>
          <a:picLocks noChangeAspect="1" noChangeArrowheads="1"/>
        </xdr:cNvPicPr>
      </xdr:nvPicPr>
      <xdr:blipFill>
        <a:blip xmlns:r="http://schemas.openxmlformats.org/officeDocument/2006/relationships" r:embed="rId1" cstate="print"/>
        <a:srcRect/>
        <a:stretch>
          <a:fillRect/>
        </a:stretch>
      </xdr:blipFill>
      <xdr:spPr bwMode="auto">
        <a:xfrm>
          <a:off x="9744075" y="257175"/>
          <a:ext cx="762000" cy="7239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676275</xdr:colOff>
      <xdr:row>0</xdr:row>
      <xdr:rowOff>47625</xdr:rowOff>
    </xdr:from>
    <xdr:to>
      <xdr:col>3</xdr:col>
      <xdr:colOff>1438275</xdr:colOff>
      <xdr:row>1</xdr:row>
      <xdr:rowOff>581025</xdr:rowOff>
    </xdr:to>
    <xdr:pic>
      <xdr:nvPicPr>
        <xdr:cNvPr id="11269" name="Picture 1" descr="qis_logo"/>
        <xdr:cNvPicPr>
          <a:picLocks noChangeAspect="1" noChangeArrowheads="1"/>
        </xdr:cNvPicPr>
      </xdr:nvPicPr>
      <xdr:blipFill>
        <a:blip xmlns:r="http://schemas.openxmlformats.org/officeDocument/2006/relationships" r:embed="rId1" cstate="print"/>
        <a:srcRect/>
        <a:stretch>
          <a:fillRect/>
        </a:stretch>
      </xdr:blipFill>
      <xdr:spPr bwMode="auto">
        <a:xfrm>
          <a:off x="5514975" y="47625"/>
          <a:ext cx="762000" cy="723900"/>
        </a:xfrm>
        <a:prstGeom prst="rect">
          <a:avLst/>
        </a:prstGeom>
        <a:noFill/>
        <a:ln w="9525">
          <a:noFill/>
          <a:miter lim="800000"/>
          <a:headEnd/>
          <a:tailEnd/>
        </a:ln>
      </xdr:spPr>
    </xdr:pic>
    <xdr:clientData/>
  </xdr:twoCellAnchor>
  <xdr:twoCellAnchor editAs="oneCell">
    <xdr:from>
      <xdr:col>3</xdr:col>
      <xdr:colOff>1000125</xdr:colOff>
      <xdr:row>43</xdr:row>
      <xdr:rowOff>180975</xdr:rowOff>
    </xdr:from>
    <xdr:to>
      <xdr:col>3</xdr:col>
      <xdr:colOff>1419225</xdr:colOff>
      <xdr:row>45</xdr:row>
      <xdr:rowOff>104775</xdr:rowOff>
    </xdr:to>
    <xdr:pic>
      <xdr:nvPicPr>
        <xdr:cNvPr id="1127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5838825" y="13468350"/>
          <a:ext cx="419100" cy="3048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219075</xdr:colOff>
      <xdr:row>0</xdr:row>
      <xdr:rowOff>123825</xdr:rowOff>
    </xdr:from>
    <xdr:to>
      <xdr:col>2</xdr:col>
      <xdr:colOff>857250</xdr:colOff>
      <xdr:row>2</xdr:row>
      <xdr:rowOff>219075</xdr:rowOff>
    </xdr:to>
    <xdr:pic>
      <xdr:nvPicPr>
        <xdr:cNvPr id="2051" name="Picture 5" descr="qis_logo"/>
        <xdr:cNvPicPr>
          <a:picLocks noChangeAspect="1" noChangeArrowheads="1"/>
        </xdr:cNvPicPr>
      </xdr:nvPicPr>
      <xdr:blipFill>
        <a:blip xmlns:r="http://schemas.openxmlformats.org/officeDocument/2006/relationships" r:embed="rId1" cstate="print"/>
        <a:srcRect/>
        <a:stretch>
          <a:fillRect/>
        </a:stretch>
      </xdr:blipFill>
      <xdr:spPr bwMode="auto">
        <a:xfrm>
          <a:off x="5010150" y="123825"/>
          <a:ext cx="638175" cy="7239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495300</xdr:colOff>
      <xdr:row>0</xdr:row>
      <xdr:rowOff>123825</xdr:rowOff>
    </xdr:from>
    <xdr:to>
      <xdr:col>2</xdr:col>
      <xdr:colOff>1257300</xdr:colOff>
      <xdr:row>0</xdr:row>
      <xdr:rowOff>847725</xdr:rowOff>
    </xdr:to>
    <xdr:pic>
      <xdr:nvPicPr>
        <xdr:cNvPr id="3075" name="Picture 4" descr="qis_logo"/>
        <xdr:cNvPicPr>
          <a:picLocks noChangeAspect="1" noChangeArrowheads="1"/>
        </xdr:cNvPicPr>
      </xdr:nvPicPr>
      <xdr:blipFill>
        <a:blip xmlns:r="http://schemas.openxmlformats.org/officeDocument/2006/relationships" r:embed="rId1" cstate="print"/>
        <a:srcRect/>
        <a:stretch>
          <a:fillRect/>
        </a:stretch>
      </xdr:blipFill>
      <xdr:spPr bwMode="auto">
        <a:xfrm>
          <a:off x="7419975" y="123825"/>
          <a:ext cx="762000" cy="7239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419100</xdr:colOff>
      <xdr:row>0</xdr:row>
      <xdr:rowOff>104775</xdr:rowOff>
    </xdr:from>
    <xdr:to>
      <xdr:col>8</xdr:col>
      <xdr:colOff>133350</xdr:colOff>
      <xdr:row>0</xdr:row>
      <xdr:rowOff>828675</xdr:rowOff>
    </xdr:to>
    <xdr:pic>
      <xdr:nvPicPr>
        <xdr:cNvPr id="4099" name="Picture 19" descr="qis_logo"/>
        <xdr:cNvPicPr>
          <a:picLocks noChangeAspect="1" noChangeArrowheads="1"/>
        </xdr:cNvPicPr>
      </xdr:nvPicPr>
      <xdr:blipFill>
        <a:blip xmlns:r="http://schemas.openxmlformats.org/officeDocument/2006/relationships" r:embed="rId1" cstate="print"/>
        <a:srcRect/>
        <a:stretch>
          <a:fillRect/>
        </a:stretch>
      </xdr:blipFill>
      <xdr:spPr bwMode="auto">
        <a:xfrm>
          <a:off x="9144000" y="104775"/>
          <a:ext cx="762000" cy="7239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66675</xdr:colOff>
      <xdr:row>0</xdr:row>
      <xdr:rowOff>85725</xdr:rowOff>
    </xdr:from>
    <xdr:to>
      <xdr:col>7</xdr:col>
      <xdr:colOff>828675</xdr:colOff>
      <xdr:row>0</xdr:row>
      <xdr:rowOff>809625</xdr:rowOff>
    </xdr:to>
    <xdr:pic>
      <xdr:nvPicPr>
        <xdr:cNvPr id="5123" name="Picture 5" descr="qis_logo"/>
        <xdr:cNvPicPr>
          <a:picLocks noChangeAspect="1" noChangeArrowheads="1"/>
        </xdr:cNvPicPr>
      </xdr:nvPicPr>
      <xdr:blipFill>
        <a:blip xmlns:r="http://schemas.openxmlformats.org/officeDocument/2006/relationships" r:embed="rId1" cstate="print"/>
        <a:srcRect/>
        <a:stretch>
          <a:fillRect/>
        </a:stretch>
      </xdr:blipFill>
      <xdr:spPr bwMode="auto">
        <a:xfrm>
          <a:off x="9134475" y="85725"/>
          <a:ext cx="762000" cy="7239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180975</xdr:colOff>
      <xdr:row>0</xdr:row>
      <xdr:rowOff>161925</xdr:rowOff>
    </xdr:from>
    <xdr:to>
      <xdr:col>4</xdr:col>
      <xdr:colOff>942975</xdr:colOff>
      <xdr:row>0</xdr:row>
      <xdr:rowOff>885825</xdr:rowOff>
    </xdr:to>
    <xdr:pic>
      <xdr:nvPicPr>
        <xdr:cNvPr id="6147" name="Picture 1" descr="qis_logo"/>
        <xdr:cNvPicPr>
          <a:picLocks noChangeAspect="1" noChangeArrowheads="1"/>
        </xdr:cNvPicPr>
      </xdr:nvPicPr>
      <xdr:blipFill>
        <a:blip xmlns:r="http://schemas.openxmlformats.org/officeDocument/2006/relationships" r:embed="rId1" cstate="print"/>
        <a:srcRect/>
        <a:stretch>
          <a:fillRect/>
        </a:stretch>
      </xdr:blipFill>
      <xdr:spPr bwMode="auto">
        <a:xfrm>
          <a:off x="7496175" y="161925"/>
          <a:ext cx="762000" cy="7239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66675</xdr:colOff>
      <xdr:row>0</xdr:row>
      <xdr:rowOff>85725</xdr:rowOff>
    </xdr:from>
    <xdr:to>
      <xdr:col>7</xdr:col>
      <xdr:colOff>828675</xdr:colOff>
      <xdr:row>0</xdr:row>
      <xdr:rowOff>809625</xdr:rowOff>
    </xdr:to>
    <xdr:pic>
      <xdr:nvPicPr>
        <xdr:cNvPr id="7171" name="Picture 3" descr="qis_logo"/>
        <xdr:cNvPicPr>
          <a:picLocks noChangeAspect="1" noChangeArrowheads="1"/>
        </xdr:cNvPicPr>
      </xdr:nvPicPr>
      <xdr:blipFill>
        <a:blip xmlns:r="http://schemas.openxmlformats.org/officeDocument/2006/relationships" r:embed="rId1" cstate="print"/>
        <a:srcRect/>
        <a:stretch>
          <a:fillRect/>
        </a:stretch>
      </xdr:blipFill>
      <xdr:spPr bwMode="auto">
        <a:xfrm>
          <a:off x="9134475" y="85725"/>
          <a:ext cx="762000" cy="7239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66675</xdr:colOff>
      <xdr:row>0</xdr:row>
      <xdr:rowOff>85725</xdr:rowOff>
    </xdr:from>
    <xdr:to>
      <xdr:col>8</xdr:col>
      <xdr:colOff>95250</xdr:colOff>
      <xdr:row>0</xdr:row>
      <xdr:rowOff>809625</xdr:rowOff>
    </xdr:to>
    <xdr:pic>
      <xdr:nvPicPr>
        <xdr:cNvPr id="8195" name="Picture 6" descr="qis_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85725"/>
          <a:ext cx="762000" cy="7239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66675</xdr:colOff>
      <xdr:row>0</xdr:row>
      <xdr:rowOff>85725</xdr:rowOff>
    </xdr:from>
    <xdr:to>
      <xdr:col>7</xdr:col>
      <xdr:colOff>828675</xdr:colOff>
      <xdr:row>0</xdr:row>
      <xdr:rowOff>809625</xdr:rowOff>
    </xdr:to>
    <xdr:pic>
      <xdr:nvPicPr>
        <xdr:cNvPr id="9219" name="Picture 1" descr="qis_logo"/>
        <xdr:cNvPicPr>
          <a:picLocks noChangeAspect="1" noChangeArrowheads="1"/>
        </xdr:cNvPicPr>
      </xdr:nvPicPr>
      <xdr:blipFill>
        <a:blip xmlns:r="http://schemas.openxmlformats.org/officeDocument/2006/relationships" r:embed="rId1" cstate="print"/>
        <a:srcRect/>
        <a:stretch>
          <a:fillRect/>
        </a:stretch>
      </xdr:blipFill>
      <xdr:spPr bwMode="auto">
        <a:xfrm>
          <a:off x="9134475" y="85725"/>
          <a:ext cx="762000" cy="7239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TitlePage"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itlePag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Lisa.wilson3@nhs.net" TargetMode="External"/><Relationship Id="rId1" Type="http://schemas.openxmlformats.org/officeDocument/2006/relationships/hyperlink" Target="http://www.nhshealthquality.org/nhsqis"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autoPageBreaks="0"/>
  </sheetPr>
  <dimension ref="A1"/>
  <sheetViews>
    <sheetView showGridLines="0" showRowColHeaders="0" tabSelected="1" workbookViewId="0">
      <selection activeCell="J46" sqref="J46"/>
    </sheetView>
  </sheetViews>
  <sheetFormatPr defaultRowHeight="15"/>
  <cols>
    <col min="1" max="16384" width="8.88671875" style="2"/>
  </cols>
  <sheetData/>
  <sheetProtection password="C7D8" sheet="1" objects="1" scenarios="1"/>
  <phoneticPr fontId="4"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codeName="Sheet19">
    <pageSetUpPr autoPageBreaks="0"/>
  </sheetPr>
  <dimension ref="A1:B15"/>
  <sheetViews>
    <sheetView showGridLines="0" showRowColHeaders="0" workbookViewId="0">
      <selection activeCell="B7" sqref="B7"/>
    </sheetView>
  </sheetViews>
  <sheetFormatPr defaultRowHeight="15"/>
  <cols>
    <col min="1" max="1" width="33.21875" style="23" customWidth="1"/>
    <col min="2" max="2" width="8.88671875" style="21"/>
    <col min="3" max="16384" width="8.88671875" style="4"/>
  </cols>
  <sheetData>
    <row r="1" spans="1:2" ht="18">
      <c r="A1" s="1168" t="s">
        <v>111</v>
      </c>
    </row>
    <row r="2" spans="1:2" ht="15.75" thickBot="1"/>
    <row r="3" spans="1:2">
      <c r="A3" s="954" t="s">
        <v>704</v>
      </c>
      <c r="B3" s="955"/>
    </row>
    <row r="4" spans="1:2">
      <c r="A4" s="956" t="s">
        <v>705</v>
      </c>
      <c r="B4" s="960">
        <v>0.91271540778464577</v>
      </c>
    </row>
    <row r="5" spans="1:2">
      <c r="A5" s="956" t="s">
        <v>706</v>
      </c>
      <c r="B5" s="960">
        <v>8.728459221535427E-2</v>
      </c>
    </row>
    <row r="6" spans="1:2">
      <c r="A6" s="956" t="s">
        <v>710</v>
      </c>
      <c r="B6" s="961">
        <v>16.600000000000001</v>
      </c>
    </row>
    <row r="7" spans="1:2">
      <c r="A7" s="956" t="s">
        <v>711</v>
      </c>
      <c r="B7" s="961">
        <v>29.14</v>
      </c>
    </row>
    <row r="8" spans="1:2">
      <c r="A8" s="956" t="s">
        <v>708</v>
      </c>
      <c r="B8" s="961">
        <v>15.68</v>
      </c>
    </row>
    <row r="9" spans="1:2">
      <c r="A9" s="956" t="s">
        <v>709</v>
      </c>
      <c r="B9" s="961">
        <v>26.71</v>
      </c>
    </row>
    <row r="10" spans="1:2">
      <c r="A10" s="957" t="s">
        <v>702</v>
      </c>
      <c r="B10" s="962">
        <v>0.2</v>
      </c>
    </row>
    <row r="11" spans="1:2">
      <c r="A11" s="957" t="s">
        <v>703</v>
      </c>
      <c r="B11" s="962">
        <v>0.8</v>
      </c>
    </row>
    <row r="12" spans="1:2" ht="25.5">
      <c r="A12" s="958" t="s">
        <v>701</v>
      </c>
      <c r="B12" s="963">
        <v>100</v>
      </c>
    </row>
    <row r="13" spans="1:2" ht="25.5">
      <c r="A13" s="958" t="s">
        <v>712</v>
      </c>
      <c r="B13" s="962">
        <v>0.3</v>
      </c>
    </row>
    <row r="14" spans="1:2" ht="26.25" thickBot="1">
      <c r="A14" s="959" t="s">
        <v>713</v>
      </c>
      <c r="B14" s="964">
        <v>0.7</v>
      </c>
    </row>
    <row r="15" spans="1:2">
      <c r="A15" s="25"/>
      <c r="B15" s="10"/>
    </row>
  </sheetData>
  <sheetProtection password="C7D8" sheet="1" objects="1" scenarios="1"/>
  <phoneticPr fontId="4"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sheetPr codeName="Sheet13" enableFormatConditionsCalculation="0">
    <tabColor indexed="34"/>
    <pageSetUpPr autoPageBreaks="0" fitToPage="1"/>
  </sheetPr>
  <dimension ref="A1:H147"/>
  <sheetViews>
    <sheetView showGridLines="0" showRowColHeaders="0" workbookViewId="0">
      <pane ySplit="8" topLeftCell="A9" activePane="bottomLeft" state="frozen"/>
      <selection pane="bottomLeft" activeCell="B20" sqref="B20"/>
    </sheetView>
  </sheetViews>
  <sheetFormatPr defaultRowHeight="15"/>
  <cols>
    <col min="1" max="1" width="5" style="1281" customWidth="1"/>
    <col min="2" max="2" width="44.5546875" style="280" customWidth="1"/>
    <col min="3" max="3" width="10.5546875" style="331" customWidth="1"/>
    <col min="4" max="4" width="9.88671875" style="334" customWidth="1"/>
    <col min="5" max="5" width="12.5546875" style="331" customWidth="1"/>
    <col min="6" max="6" width="12.88671875" style="331" customWidth="1"/>
    <col min="7" max="7" width="10.33203125" style="334" customWidth="1"/>
    <col min="8" max="8" width="12.21875" style="331" customWidth="1"/>
    <col min="9" max="16384" width="8.88671875" style="332"/>
  </cols>
  <sheetData>
    <row r="1" spans="1:8" ht="110.25" customHeight="1">
      <c r="A1" s="1307" t="s">
        <v>800</v>
      </c>
      <c r="B1" s="1307"/>
      <c r="C1" s="1307"/>
      <c r="D1" s="1307"/>
      <c r="E1" s="1307"/>
      <c r="F1" s="1307"/>
      <c r="G1" s="1307"/>
    </row>
    <row r="2" spans="1:8" ht="15.75">
      <c r="A2" s="370" t="s">
        <v>170</v>
      </c>
      <c r="B2" s="333"/>
    </row>
    <row r="3" spans="1:8" ht="25.5" customHeight="1">
      <c r="A3" s="370"/>
      <c r="B3" s="338"/>
      <c r="C3" s="340"/>
      <c r="D3" s="338"/>
      <c r="E3" s="340"/>
      <c r="F3" s="340"/>
      <c r="G3" s="338"/>
      <c r="H3" s="340"/>
    </row>
    <row r="4" spans="1:8" ht="32.25" thickBot="1">
      <c r="B4" s="341" t="s">
        <v>681</v>
      </c>
    </row>
    <row r="5" spans="1:8" ht="28.5" customHeight="1" thickTop="1">
      <c r="B5" s="341" t="s">
        <v>680</v>
      </c>
      <c r="C5" s="1433" t="s">
        <v>688</v>
      </c>
      <c r="D5" s="1347"/>
      <c r="E5" s="1366"/>
      <c r="F5" s="344" t="str">
        <f>'STEP 1.Select NHS Board'!$B$7</f>
        <v>Select NHS board</v>
      </c>
      <c r="G5" s="282"/>
      <c r="H5" s="317"/>
    </row>
    <row r="6" spans="1:8" ht="15.75" thickBot="1">
      <c r="C6" s="637"/>
      <c r="D6" s="346"/>
      <c r="E6" s="638"/>
      <c r="F6" s="348"/>
      <c r="G6" s="346"/>
      <c r="H6" s="349"/>
    </row>
    <row r="7" spans="1:8" ht="27" customHeight="1" thickTop="1" thickBot="1">
      <c r="A7" s="1251" t="s">
        <v>682</v>
      </c>
      <c r="B7" s="351" t="s">
        <v>683</v>
      </c>
      <c r="C7" s="639"/>
      <c r="D7" s="353"/>
      <c r="E7" s="640"/>
      <c r="F7" s="1344" t="s">
        <v>684</v>
      </c>
      <c r="G7" s="1344"/>
      <c r="H7" s="1345"/>
    </row>
    <row r="8" spans="1:8" ht="28.5" customHeight="1">
      <c r="A8" s="1282"/>
      <c r="B8" s="229"/>
      <c r="C8" s="641" t="s">
        <v>476</v>
      </c>
      <c r="D8" s="231" t="s">
        <v>816</v>
      </c>
      <c r="E8" s="642" t="s">
        <v>477</v>
      </c>
      <c r="F8" s="643" t="s">
        <v>476</v>
      </c>
      <c r="G8" s="231" t="s">
        <v>816</v>
      </c>
      <c r="H8" s="357" t="s">
        <v>477</v>
      </c>
    </row>
    <row r="9" spans="1:8" ht="25.5">
      <c r="A9" s="1282"/>
      <c r="B9" s="240" t="s">
        <v>347</v>
      </c>
      <c r="C9" s="1162"/>
      <c r="D9" s="1163"/>
      <c r="E9" s="1164"/>
      <c r="F9" s="1165"/>
      <c r="G9" s="1163"/>
      <c r="H9" s="1166"/>
    </row>
    <row r="10" spans="1:8" ht="10.5" customHeight="1">
      <c r="A10" s="1282"/>
      <c r="B10" s="237"/>
      <c r="C10" s="644"/>
      <c r="D10" s="227"/>
      <c r="E10" s="390"/>
      <c r="F10" s="314"/>
      <c r="G10" s="227"/>
      <c r="H10" s="311"/>
    </row>
    <row r="11" spans="1:8">
      <c r="A11" s="1279">
        <v>1</v>
      </c>
      <c r="B11" s="237" t="s">
        <v>353</v>
      </c>
      <c r="C11" s="644"/>
      <c r="D11" s="227">
        <f>'STEP 1.Select NHS Board'!$F$25</f>
        <v>1083.2000000000003</v>
      </c>
      <c r="E11" s="390"/>
      <c r="F11" s="314"/>
      <c r="G11" s="298">
        <f>+IF($F$5="Select NHS board",0,VLOOKUP($F$5,'STEP 1.Select NHS Board'!$A$8:$O$25,6,0))</f>
        <v>0</v>
      </c>
      <c r="H11" s="311"/>
    </row>
    <row r="12" spans="1:8">
      <c r="A12" s="1282"/>
      <c r="B12" s="237" t="s">
        <v>354</v>
      </c>
      <c r="C12" s="644"/>
      <c r="D12" s="227">
        <f>'STEP 1.Select NHS Board'!$H$25</f>
        <v>26283.799999999992</v>
      </c>
      <c r="E12" s="390"/>
      <c r="F12" s="314"/>
      <c r="G12" s="298">
        <f>+IF($F$5="Select NHS board",0,VLOOKUP($F$5,'STEP 1.Select NHS Board'!$A$8:$O$25,8,0))</f>
        <v>0</v>
      </c>
      <c r="H12" s="311"/>
    </row>
    <row r="13" spans="1:8" ht="15.75">
      <c r="A13" s="1282"/>
      <c r="B13" s="240" t="s">
        <v>352</v>
      </c>
      <c r="C13" s="644"/>
      <c r="D13" s="228">
        <f>SUM($D$11:$D$12)</f>
        <v>27366.999999999993</v>
      </c>
      <c r="E13" s="645"/>
      <c r="F13" s="646"/>
      <c r="G13" s="228">
        <f>SUM($G$11:$G$12)</f>
        <v>0</v>
      </c>
      <c r="H13" s="311"/>
    </row>
    <row r="14" spans="1:8" ht="6" customHeight="1">
      <c r="A14" s="1282"/>
      <c r="B14" s="237"/>
      <c r="C14" s="644"/>
      <c r="D14" s="227"/>
      <c r="E14" s="390"/>
      <c r="F14" s="314"/>
      <c r="G14" s="227"/>
      <c r="H14" s="311"/>
    </row>
    <row r="15" spans="1:8" ht="25.5">
      <c r="A15" s="1279">
        <v>2</v>
      </c>
      <c r="B15" s="237" t="s">
        <v>355</v>
      </c>
      <c r="C15" s="644"/>
      <c r="D15" s="242">
        <v>0.25</v>
      </c>
      <c r="E15" s="390"/>
      <c r="F15" s="314"/>
      <c r="G15" s="301">
        <v>0.25</v>
      </c>
      <c r="H15" s="311"/>
    </row>
    <row r="16" spans="1:8" ht="6.75" customHeight="1">
      <c r="A16" s="1282"/>
      <c r="B16" s="237"/>
      <c r="C16" s="644"/>
      <c r="D16" s="242"/>
      <c r="E16" s="390"/>
      <c r="F16" s="314"/>
      <c r="G16" s="242"/>
      <c r="H16" s="311"/>
    </row>
    <row r="17" spans="1:8" ht="38.25">
      <c r="A17" s="1282"/>
      <c r="B17" s="237" t="s">
        <v>356</v>
      </c>
      <c r="C17" s="644"/>
      <c r="D17" s="227">
        <f>$D$11*$D$15</f>
        <v>270.80000000000007</v>
      </c>
      <c r="E17" s="390"/>
      <c r="F17" s="314"/>
      <c r="G17" s="227">
        <f>$G$11*$G$15</f>
        <v>0</v>
      </c>
      <c r="H17" s="311"/>
    </row>
    <row r="18" spans="1:8">
      <c r="A18" s="1282"/>
      <c r="B18" s="237"/>
      <c r="C18" s="644"/>
      <c r="D18" s="227"/>
      <c r="E18" s="390"/>
      <c r="F18" s="314"/>
      <c r="G18" s="227"/>
      <c r="H18" s="311"/>
    </row>
    <row r="19" spans="1:8" ht="25.5">
      <c r="A19" s="1279">
        <v>3</v>
      </c>
      <c r="B19" s="237" t="s">
        <v>889</v>
      </c>
      <c r="C19" s="644"/>
      <c r="D19" s="242">
        <v>0.1</v>
      </c>
      <c r="E19" s="390"/>
      <c r="F19" s="314"/>
      <c r="G19" s="301">
        <v>0.1</v>
      </c>
      <c r="H19" s="311"/>
    </row>
    <row r="20" spans="1:8">
      <c r="A20" s="1282"/>
      <c r="B20" s="237"/>
      <c r="C20" s="644"/>
      <c r="D20" s="227"/>
      <c r="E20" s="390"/>
      <c r="F20" s="314"/>
      <c r="G20" s="227"/>
      <c r="H20" s="311"/>
    </row>
    <row r="21" spans="1:8" ht="38.25">
      <c r="A21" s="1282"/>
      <c r="B21" s="237" t="s">
        <v>357</v>
      </c>
      <c r="C21" s="644"/>
      <c r="D21" s="227">
        <f>$D$12*$D$19</f>
        <v>2628.3799999999992</v>
      </c>
      <c r="E21" s="390"/>
      <c r="F21" s="314"/>
      <c r="G21" s="227">
        <f>$G$12*$G$19</f>
        <v>0</v>
      </c>
      <c r="H21" s="311"/>
    </row>
    <row r="22" spans="1:8" ht="10.5" customHeight="1">
      <c r="A22" s="1282"/>
      <c r="B22" s="237"/>
      <c r="C22" s="644"/>
      <c r="D22" s="227"/>
      <c r="E22" s="390"/>
      <c r="F22" s="314"/>
      <c r="G22" s="227"/>
      <c r="H22" s="311"/>
    </row>
    <row r="23" spans="1:8" ht="26.25">
      <c r="A23" s="1282"/>
      <c r="B23" s="240" t="s">
        <v>358</v>
      </c>
      <c r="C23" s="647"/>
      <c r="D23" s="228">
        <f>$D$17+$D$21</f>
        <v>2899.1799999999994</v>
      </c>
      <c r="E23" s="645"/>
      <c r="F23" s="646"/>
      <c r="G23" s="228">
        <f>$G$17+$G$21</f>
        <v>0</v>
      </c>
      <c r="H23" s="648"/>
    </row>
    <row r="24" spans="1:8">
      <c r="A24" s="1282"/>
      <c r="B24" s="237"/>
      <c r="C24" s="644"/>
      <c r="D24" s="227"/>
      <c r="E24" s="390"/>
      <c r="F24" s="314"/>
      <c r="G24" s="227"/>
      <c r="H24" s="311"/>
    </row>
    <row r="25" spans="1:8" ht="25.5">
      <c r="A25" s="1282"/>
      <c r="B25" s="237" t="s">
        <v>359</v>
      </c>
      <c r="C25" s="644"/>
      <c r="D25" s="242">
        <f>$D$27/$D$13</f>
        <v>2.0206818430956997E-2</v>
      </c>
      <c r="E25" s="390"/>
      <c r="F25" s="314"/>
      <c r="G25" s="673">
        <f>+IF($F$5="Select NHS board",0,VLOOKUP($F$5,'CSII assumptions&amp;unit costs'!$A$4:$C$17,3,0))</f>
        <v>0</v>
      </c>
      <c r="H25" s="311"/>
    </row>
    <row r="26" spans="1:8" ht="8.25" customHeight="1">
      <c r="A26" s="1282"/>
      <c r="B26" s="237"/>
      <c r="C26" s="644"/>
      <c r="D26" s="227"/>
      <c r="E26" s="390"/>
      <c r="F26" s="314"/>
      <c r="G26" s="227"/>
      <c r="H26" s="311"/>
    </row>
    <row r="27" spans="1:8" ht="25.5">
      <c r="A27" s="1279">
        <v>4</v>
      </c>
      <c r="B27" s="237" t="s">
        <v>360</v>
      </c>
      <c r="C27" s="644"/>
      <c r="D27" s="227">
        <v>553</v>
      </c>
      <c r="E27" s="390"/>
      <c r="F27" s="314"/>
      <c r="G27" s="298">
        <f>+IF($F$5="Select NHS board",0,VLOOKUP($F$5,'CSII assumptions&amp;unit costs'!$A$4:$C$17,2,0))</f>
        <v>0</v>
      </c>
      <c r="H27" s="311"/>
    </row>
    <row r="28" spans="1:8" ht="9" customHeight="1">
      <c r="A28" s="1282"/>
      <c r="B28" s="237"/>
      <c r="C28" s="644"/>
      <c r="D28" s="227"/>
      <c r="E28" s="390"/>
      <c r="F28" s="314"/>
      <c r="G28" s="227"/>
      <c r="H28" s="311"/>
    </row>
    <row r="29" spans="1:8" ht="26.25">
      <c r="A29" s="1282"/>
      <c r="B29" s="240" t="s">
        <v>361</v>
      </c>
      <c r="C29" s="647"/>
      <c r="D29" s="228">
        <f>$D$23-$D$27</f>
        <v>2346.1799999999994</v>
      </c>
      <c r="E29" s="645"/>
      <c r="F29" s="646"/>
      <c r="G29" s="228">
        <f>$G$23-$G$27</f>
        <v>0</v>
      </c>
      <c r="H29" s="648"/>
    </row>
    <row r="30" spans="1:8" ht="15.75">
      <c r="A30" s="1282"/>
      <c r="B30" s="240" t="s">
        <v>364</v>
      </c>
      <c r="C30" s="647"/>
      <c r="D30" s="228">
        <f>ROUNDUP($D$29/5,0)</f>
        <v>470</v>
      </c>
      <c r="E30" s="645"/>
      <c r="F30" s="646"/>
      <c r="G30" s="300">
        <f>ROUNDUP($G$29/5,0)</f>
        <v>0</v>
      </c>
      <c r="H30" s="311"/>
    </row>
    <row r="31" spans="1:8">
      <c r="A31" s="1282"/>
      <c r="B31" s="237" t="s">
        <v>365</v>
      </c>
      <c r="C31" s="644"/>
      <c r="D31" s="227">
        <f>ROUNDUP($D$17/$D$23*$D$30,0)</f>
        <v>44</v>
      </c>
      <c r="E31" s="390"/>
      <c r="F31" s="314"/>
      <c r="G31" s="299">
        <f>IF($F$5="Select NHS board",0,$G$17/$G$23*$G$30)</f>
        <v>0</v>
      </c>
      <c r="H31" s="311"/>
    </row>
    <row r="32" spans="1:8">
      <c r="A32" s="1282"/>
      <c r="B32" s="237" t="s">
        <v>366</v>
      </c>
      <c r="C32" s="644"/>
      <c r="D32" s="227">
        <f>$D$30*$D$21/$D$23</f>
        <v>426.09931083961669</v>
      </c>
      <c r="E32" s="390"/>
      <c r="F32" s="314"/>
      <c r="G32" s="299">
        <f>IF($F$5="Select NHS board",0,$G$30*$G$21/$G$23)</f>
        <v>0</v>
      </c>
      <c r="H32" s="311"/>
    </row>
    <row r="33" spans="1:8">
      <c r="A33" s="1282"/>
      <c r="B33" s="237"/>
      <c r="C33" s="644"/>
      <c r="D33" s="227"/>
      <c r="E33" s="390"/>
      <c r="F33" s="314"/>
      <c r="G33" s="227"/>
      <c r="H33" s="311"/>
    </row>
    <row r="34" spans="1:8" ht="25.5">
      <c r="A34" s="1282"/>
      <c r="B34" s="240" t="s">
        <v>369</v>
      </c>
      <c r="C34" s="644"/>
      <c r="D34" s="227"/>
      <c r="E34" s="390"/>
      <c r="F34" s="314"/>
      <c r="G34" s="227"/>
      <c r="H34" s="309"/>
    </row>
    <row r="35" spans="1:8">
      <c r="A35" s="1282"/>
      <c r="B35" s="237" t="s">
        <v>368</v>
      </c>
      <c r="C35" s="644">
        <f>'CSII assumptions&amp;unit costs'!$B$21</f>
        <v>1500</v>
      </c>
      <c r="D35" s="227">
        <f>$D$30</f>
        <v>470</v>
      </c>
      <c r="E35" s="390">
        <f>$C$35*$D$35</f>
        <v>705000</v>
      </c>
      <c r="F35" s="674">
        <f>'CSII assumptions&amp;unit costs'!$B$21</f>
        <v>1500</v>
      </c>
      <c r="G35" s="227">
        <f>$G$30</f>
        <v>0</v>
      </c>
      <c r="H35" s="309">
        <f>$F$35*$G$35</f>
        <v>0</v>
      </c>
    </row>
    <row r="36" spans="1:8">
      <c r="A36" s="1282"/>
      <c r="B36" s="237" t="s">
        <v>370</v>
      </c>
      <c r="C36" s="644">
        <f>'CSII assumptions&amp;unit costs'!$B$22</f>
        <v>312</v>
      </c>
      <c r="D36" s="227">
        <f>$D$30</f>
        <v>470</v>
      </c>
      <c r="E36" s="390">
        <f>$C$36*$D$36</f>
        <v>146640</v>
      </c>
      <c r="F36" s="674">
        <f>'CSII assumptions&amp;unit costs'!$B$22</f>
        <v>312</v>
      </c>
      <c r="G36" s="227">
        <f>$G$30</f>
        <v>0</v>
      </c>
      <c r="H36" s="309">
        <f>$F$36*$G$36</f>
        <v>0</v>
      </c>
    </row>
    <row r="37" spans="1:8">
      <c r="A37" s="1282"/>
      <c r="B37" s="237" t="s">
        <v>371</v>
      </c>
      <c r="C37" s="644">
        <f>'CSII assumptions&amp;unit costs'!$B$23/5</f>
        <v>410</v>
      </c>
      <c r="D37" s="227">
        <f>$D$30</f>
        <v>470</v>
      </c>
      <c r="E37" s="390">
        <f>$C$37*$D$37</f>
        <v>192700</v>
      </c>
      <c r="F37" s="674">
        <f>'CSII assumptions&amp;unit costs'!$B$23/5</f>
        <v>410</v>
      </c>
      <c r="G37" s="227">
        <f>$G$30</f>
        <v>0</v>
      </c>
      <c r="H37" s="309">
        <f>$F$37*$G$37</f>
        <v>0</v>
      </c>
    </row>
    <row r="38" spans="1:8" s="438" customFormat="1" ht="12.75">
      <c r="A38" s="1282"/>
      <c r="B38" s="1161" t="s">
        <v>375</v>
      </c>
      <c r="C38" s="644"/>
      <c r="D38" s="227"/>
      <c r="E38" s="308">
        <f>$E$35+$E$36</f>
        <v>851640</v>
      </c>
      <c r="F38" s="397"/>
      <c r="G38" s="227"/>
      <c r="H38" s="309">
        <f>$H$35+$H$36</f>
        <v>0</v>
      </c>
    </row>
    <row r="39" spans="1:8">
      <c r="A39" s="1282"/>
      <c r="B39" s="237" t="s">
        <v>373</v>
      </c>
      <c r="C39" s="644"/>
      <c r="D39" s="227"/>
      <c r="E39" s="390">
        <f>$D$29*('CSII assumptions&amp;unit costs'!$B$21+'CSII assumptions&amp;unit costs'!$B$22)</f>
        <v>4251278.1599999992</v>
      </c>
      <c r="F39" s="314"/>
      <c r="G39" s="227"/>
      <c r="H39" s="309">
        <f>$G$29*('CSII assumptions&amp;unit costs'!$B$21+'CSII assumptions&amp;unit costs'!$B$22)</f>
        <v>0</v>
      </c>
    </row>
    <row r="40" spans="1:8">
      <c r="A40" s="1282"/>
      <c r="B40" s="237" t="s">
        <v>374</v>
      </c>
      <c r="C40" s="644"/>
      <c r="D40" s="227"/>
      <c r="E40" s="308">
        <f>15*$E$37</f>
        <v>2890500</v>
      </c>
      <c r="F40" s="651"/>
      <c r="G40" s="227"/>
      <c r="H40" s="309">
        <f>15*$H$37</f>
        <v>0</v>
      </c>
    </row>
    <row r="41" spans="1:8">
      <c r="A41" s="1282"/>
      <c r="B41" s="237" t="s">
        <v>376</v>
      </c>
      <c r="C41" s="644"/>
      <c r="D41" s="227"/>
      <c r="E41" s="390">
        <f>$E$35+$E$36+$E$37</f>
        <v>1044340</v>
      </c>
      <c r="F41" s="314"/>
      <c r="G41" s="227"/>
      <c r="H41" s="309">
        <f>$H$35+$H$36+$H$37</f>
        <v>0</v>
      </c>
    </row>
    <row r="42" spans="1:8">
      <c r="A42" s="1282"/>
      <c r="B42" s="237" t="s">
        <v>377</v>
      </c>
      <c r="C42" s="644"/>
      <c r="D42" s="227">
        <f>$D$30</f>
        <v>470</v>
      </c>
      <c r="E42" s="390">
        <f>$E$41/$D$42</f>
        <v>2222</v>
      </c>
      <c r="F42" s="314"/>
      <c r="G42" s="227">
        <f>$G$30</f>
        <v>0</v>
      </c>
      <c r="H42" s="309">
        <f>IF($F$5="Select NHS board",0,$H$41/$G$42)</f>
        <v>0</v>
      </c>
    </row>
    <row r="43" spans="1:8">
      <c r="A43" s="1282"/>
      <c r="B43" s="237"/>
      <c r="C43" s="644"/>
      <c r="D43" s="227"/>
      <c r="E43" s="390"/>
      <c r="F43" s="314"/>
      <c r="G43" s="227"/>
      <c r="H43" s="309"/>
    </row>
    <row r="44" spans="1:8">
      <c r="A44" s="1282"/>
      <c r="B44" s="237" t="s">
        <v>378</v>
      </c>
      <c r="C44" s="644"/>
      <c r="D44" s="227"/>
      <c r="E44" s="390"/>
      <c r="F44" s="314"/>
      <c r="G44" s="227"/>
      <c r="H44" s="309"/>
    </row>
    <row r="45" spans="1:8">
      <c r="A45" s="1282"/>
      <c r="B45" s="237" t="s">
        <v>368</v>
      </c>
      <c r="C45" s="644">
        <f>'CSII assumptions&amp;unit costs'!$B$26</f>
        <v>400</v>
      </c>
      <c r="D45" s="227">
        <f>$D$30</f>
        <v>470</v>
      </c>
      <c r="E45" s="390">
        <f>$C$45*$D$45</f>
        <v>188000</v>
      </c>
      <c r="F45" s="674">
        <f>'CSII assumptions&amp;unit costs'!$B$26</f>
        <v>400</v>
      </c>
      <c r="G45" s="227">
        <f>$G$30</f>
        <v>0</v>
      </c>
      <c r="H45" s="309">
        <f>$F$45*$G$45</f>
        <v>0</v>
      </c>
    </row>
    <row r="46" spans="1:8">
      <c r="A46" s="1282"/>
      <c r="B46" s="237" t="s">
        <v>370</v>
      </c>
      <c r="C46" s="644">
        <f>'CSII assumptions&amp;unit costs'!$B$27</f>
        <v>466</v>
      </c>
      <c r="D46" s="227">
        <f>$D$30</f>
        <v>470</v>
      </c>
      <c r="E46" s="390">
        <f>$C$46*$D$46</f>
        <v>219020</v>
      </c>
      <c r="F46" s="674">
        <f>'CSII assumptions&amp;unit costs'!$B$27</f>
        <v>466</v>
      </c>
      <c r="G46" s="227">
        <f>$G$30</f>
        <v>0</v>
      </c>
      <c r="H46" s="309">
        <f>$F$46*$G$46</f>
        <v>0</v>
      </c>
    </row>
    <row r="47" spans="1:8">
      <c r="A47" s="1282"/>
      <c r="B47" s="237" t="s">
        <v>379</v>
      </c>
      <c r="C47" s="644"/>
      <c r="D47" s="227"/>
      <c r="E47" s="390">
        <f>SUM($E$45:$E$46)</f>
        <v>407020</v>
      </c>
      <c r="F47" s="314"/>
      <c r="G47" s="227"/>
      <c r="H47" s="309">
        <f>SUM($H$45:$H$46)</f>
        <v>0</v>
      </c>
    </row>
    <row r="48" spans="1:8">
      <c r="A48" s="1282"/>
      <c r="B48" s="237" t="s">
        <v>373</v>
      </c>
      <c r="C48" s="644"/>
      <c r="D48" s="227"/>
      <c r="E48" s="390">
        <f>$D$29*('CSII assumptions&amp;unit costs'!$B$26+'CSII assumptions&amp;unit costs'!$B$27)</f>
        <v>2031791.8799999994</v>
      </c>
      <c r="F48" s="314"/>
      <c r="G48" s="227"/>
      <c r="H48" s="309">
        <f>$G$29*('CSII assumptions&amp;unit costs'!$B$26+'CSII assumptions&amp;unit costs'!$B$27)</f>
        <v>0</v>
      </c>
    </row>
    <row r="49" spans="1:8">
      <c r="A49" s="1282"/>
      <c r="B49" s="237" t="s">
        <v>376</v>
      </c>
      <c r="C49" s="644"/>
      <c r="D49" s="227"/>
      <c r="E49" s="390">
        <f>$E$45+$E$46</f>
        <v>407020</v>
      </c>
      <c r="F49" s="649"/>
      <c r="G49" s="227"/>
      <c r="H49" s="309">
        <f>$H$45+$H$46</f>
        <v>0</v>
      </c>
    </row>
    <row r="50" spans="1:8">
      <c r="A50" s="1282"/>
      <c r="B50" s="237" t="s">
        <v>377</v>
      </c>
      <c r="C50" s="644"/>
      <c r="D50" s="227">
        <f>$D$30</f>
        <v>470</v>
      </c>
      <c r="E50" s="390">
        <f>$E$49/$D$50</f>
        <v>866</v>
      </c>
      <c r="F50" s="314"/>
      <c r="G50" s="227">
        <f>$D$30</f>
        <v>470</v>
      </c>
      <c r="H50" s="309">
        <f>$H$49/$G$50</f>
        <v>0</v>
      </c>
    </row>
    <row r="51" spans="1:8">
      <c r="A51" s="1282"/>
      <c r="B51" s="237"/>
      <c r="C51" s="644"/>
      <c r="D51" s="227"/>
      <c r="E51" s="390"/>
      <c r="F51" s="314"/>
      <c r="G51" s="227"/>
      <c r="H51" s="309"/>
    </row>
    <row r="52" spans="1:8" ht="25.5">
      <c r="A52" s="1282"/>
      <c r="B52" s="240" t="s">
        <v>386</v>
      </c>
      <c r="C52" s="644"/>
      <c r="D52" s="227"/>
      <c r="E52" s="390"/>
      <c r="F52" s="314"/>
      <c r="G52" s="227"/>
      <c r="H52" s="309"/>
    </row>
    <row r="53" spans="1:8" ht="15.75">
      <c r="A53" s="1282"/>
      <c r="B53" s="240" t="s">
        <v>382</v>
      </c>
      <c r="C53" s="647"/>
      <c r="D53" s="228"/>
      <c r="E53" s="645">
        <f>$E$35-$E$45</f>
        <v>517000</v>
      </c>
      <c r="F53" s="646"/>
      <c r="G53" s="228"/>
      <c r="H53" s="312">
        <f>$H$35-$H$45</f>
        <v>0</v>
      </c>
    </row>
    <row r="54" spans="1:8" ht="15.75">
      <c r="A54" s="1282"/>
      <c r="B54" s="240" t="s">
        <v>383</v>
      </c>
      <c r="C54" s="647"/>
      <c r="D54" s="228"/>
      <c r="E54" s="645">
        <f>$E$36-$E$46</f>
        <v>-72380</v>
      </c>
      <c r="F54" s="646"/>
      <c r="G54" s="228"/>
      <c r="H54" s="312">
        <f>$H$36-$H$46</f>
        <v>0</v>
      </c>
    </row>
    <row r="55" spans="1:8" s="469" customFormat="1" ht="26.25">
      <c r="A55" s="370"/>
      <c r="B55" s="240" t="s">
        <v>380</v>
      </c>
      <c r="C55" s="647"/>
      <c r="D55" s="228"/>
      <c r="E55" s="645">
        <f>$E$38-$E$47</f>
        <v>444620</v>
      </c>
      <c r="F55" s="646"/>
      <c r="G55" s="228"/>
      <c r="H55" s="312">
        <f>$H$38-$H$47</f>
        <v>0</v>
      </c>
    </row>
    <row r="56" spans="1:8" ht="15.75">
      <c r="A56" s="1282"/>
      <c r="B56" s="240" t="s">
        <v>381</v>
      </c>
      <c r="C56" s="647"/>
      <c r="D56" s="228"/>
      <c r="E56" s="645">
        <f>$E$39-$E$48</f>
        <v>2219486.2799999998</v>
      </c>
      <c r="F56" s="646"/>
      <c r="G56" s="228"/>
      <c r="H56" s="312">
        <f>$H$39-$H$48</f>
        <v>0</v>
      </c>
    </row>
    <row r="57" spans="1:8">
      <c r="A57" s="1282"/>
      <c r="B57" s="237" t="s">
        <v>374</v>
      </c>
      <c r="C57" s="644"/>
      <c r="D57" s="227"/>
      <c r="E57" s="390">
        <f>$E$55*15</f>
        <v>6669300</v>
      </c>
      <c r="F57" s="314"/>
      <c r="G57" s="227"/>
      <c r="H57" s="309">
        <f>$H$55*15</f>
        <v>0</v>
      </c>
    </row>
    <row r="58" spans="1:8">
      <c r="A58" s="1282"/>
      <c r="B58" s="240" t="s">
        <v>384</v>
      </c>
      <c r="C58" s="650"/>
      <c r="D58" s="275"/>
      <c r="E58" s="645">
        <f>$E$41-$E$49</f>
        <v>637320</v>
      </c>
      <c r="F58" s="651"/>
      <c r="G58" s="227"/>
      <c r="H58" s="312">
        <f>$H$41-$H$49</f>
        <v>0</v>
      </c>
    </row>
    <row r="59" spans="1:8" ht="15.75">
      <c r="A59" s="1282"/>
      <c r="B59" s="240" t="s">
        <v>385</v>
      </c>
      <c r="C59" s="647"/>
      <c r="D59" s="228">
        <f>$D$30</f>
        <v>470</v>
      </c>
      <c r="E59" s="645">
        <f>$E$58/$D$59</f>
        <v>1356</v>
      </c>
      <c r="F59" s="646"/>
      <c r="G59" s="228">
        <f>$D$30</f>
        <v>470</v>
      </c>
      <c r="H59" s="312">
        <f>$H$58/$G$59</f>
        <v>0</v>
      </c>
    </row>
    <row r="60" spans="1:8">
      <c r="A60" s="1282"/>
      <c r="B60" s="237"/>
      <c r="C60" s="644"/>
      <c r="D60" s="227"/>
      <c r="E60" s="390"/>
      <c r="F60" s="314"/>
      <c r="G60" s="227"/>
      <c r="H60" s="311"/>
    </row>
    <row r="61" spans="1:8">
      <c r="A61" s="1282"/>
      <c r="B61" s="652"/>
      <c r="C61" s="653"/>
      <c r="D61" s="235"/>
      <c r="E61" s="654"/>
      <c r="F61" s="655"/>
      <c r="G61" s="235"/>
      <c r="H61" s="656"/>
    </row>
    <row r="62" spans="1:8" ht="6" customHeight="1">
      <c r="A62" s="1282"/>
      <c r="B62" s="237"/>
      <c r="C62" s="644"/>
      <c r="D62" s="227"/>
      <c r="E62" s="390"/>
      <c r="F62" s="314"/>
      <c r="G62" s="227"/>
      <c r="H62" s="311"/>
    </row>
    <row r="63" spans="1:8">
      <c r="A63" s="1282"/>
      <c r="B63" s="240" t="s">
        <v>390</v>
      </c>
      <c r="C63" s="644"/>
      <c r="D63" s="227"/>
      <c r="E63" s="390"/>
      <c r="F63" s="314"/>
      <c r="G63" s="227"/>
      <c r="H63" s="311"/>
    </row>
    <row r="64" spans="1:8" ht="9" customHeight="1">
      <c r="A64" s="1282"/>
      <c r="B64" s="237"/>
      <c r="C64" s="644"/>
      <c r="D64" s="227"/>
      <c r="E64" s="390"/>
      <c r="F64" s="314"/>
      <c r="G64" s="227"/>
      <c r="H64" s="311"/>
    </row>
    <row r="65" spans="1:8">
      <c r="A65" s="1279">
        <v>5</v>
      </c>
      <c r="B65" s="237" t="s">
        <v>387</v>
      </c>
      <c r="C65" s="644"/>
      <c r="D65" s="260">
        <f>$D$30*5/3</f>
        <v>783.33333333333337</v>
      </c>
      <c r="E65" s="390"/>
      <c r="F65" s="314"/>
      <c r="G65" s="298">
        <f>$G$30*5/3</f>
        <v>0</v>
      </c>
      <c r="H65" s="311"/>
    </row>
    <row r="66" spans="1:8">
      <c r="A66" s="1279">
        <v>6</v>
      </c>
      <c r="B66" s="237" t="s">
        <v>389</v>
      </c>
      <c r="C66" s="644"/>
      <c r="D66" s="260">
        <f>$D$65/4</f>
        <v>195.83333333333334</v>
      </c>
      <c r="E66" s="390"/>
      <c r="F66" s="314"/>
      <c r="G66" s="260">
        <f>$G$65/4</f>
        <v>0</v>
      </c>
      <c r="H66" s="311"/>
    </row>
    <row r="67" spans="1:8" ht="12" customHeight="1">
      <c r="A67" s="1282"/>
      <c r="B67" s="237"/>
      <c r="C67" s="644"/>
      <c r="D67" s="228"/>
      <c r="E67" s="390"/>
      <c r="F67" s="314"/>
      <c r="G67" s="228"/>
      <c r="H67" s="311"/>
    </row>
    <row r="68" spans="1:8" ht="25.5">
      <c r="A68" s="1435">
        <v>7</v>
      </c>
      <c r="B68" s="237" t="s">
        <v>414</v>
      </c>
      <c r="C68" s="657">
        <f>'CSII assumptions&amp;unit costs'!$C$43</f>
        <v>82.320133853876186</v>
      </c>
      <c r="D68" s="260">
        <f>'CSII assumptions&amp;unit costs'!$B$43</f>
        <v>1</v>
      </c>
      <c r="E68" s="658">
        <f>$C$68*$D$68</f>
        <v>82.320133853876186</v>
      </c>
      <c r="F68" s="675">
        <f>'CSII assumptions&amp;unit costs'!$C$43</f>
        <v>82.320133853876186</v>
      </c>
      <c r="G68" s="298">
        <f>'CSII assumptions&amp;unit costs'!$B$43</f>
        <v>1</v>
      </c>
      <c r="H68" s="660">
        <f>$F$68*$G$68</f>
        <v>82.320133853876186</v>
      </c>
    </row>
    <row r="69" spans="1:8" ht="25.5">
      <c r="A69" s="1435"/>
      <c r="B69" s="237" t="s">
        <v>415</v>
      </c>
      <c r="C69" s="657">
        <f>'CSII assumptions&amp;unit costs'!$C$44</f>
        <v>68.320096852300253</v>
      </c>
      <c r="D69" s="260">
        <v>2</v>
      </c>
      <c r="E69" s="658">
        <f>$C$69*$D$69</f>
        <v>136.64019370460051</v>
      </c>
      <c r="F69" s="675">
        <f>'CSII assumptions&amp;unit costs'!$C$44</f>
        <v>68.320096852300253</v>
      </c>
      <c r="G69" s="298">
        <v>2</v>
      </c>
      <c r="H69" s="660">
        <f>$F$69*$G$69</f>
        <v>136.64019370460051</v>
      </c>
    </row>
    <row r="70" spans="1:8">
      <c r="A70" s="1435"/>
      <c r="B70" s="237" t="s">
        <v>417</v>
      </c>
      <c r="C70" s="657">
        <f>'CSII assumptions&amp;unit costs'!$C$44</f>
        <v>68.320096852300253</v>
      </c>
      <c r="D70" s="260">
        <v>1</v>
      </c>
      <c r="E70" s="658">
        <f>$C$70*$D$70</f>
        <v>68.320096852300253</v>
      </c>
      <c r="F70" s="675">
        <f>'CSII assumptions&amp;unit costs'!$C$44</f>
        <v>68.320096852300253</v>
      </c>
      <c r="G70" s="298">
        <v>1</v>
      </c>
      <c r="H70" s="660">
        <f>$F$70*$G$70</f>
        <v>68.320096852300253</v>
      </c>
    </row>
    <row r="71" spans="1:8" ht="25.5">
      <c r="A71" s="1435"/>
      <c r="B71" s="237" t="s">
        <v>416</v>
      </c>
      <c r="C71" s="657">
        <f>'CSII assumptions&amp;unit costs'!$C$45</f>
        <v>28.606682808716709</v>
      </c>
      <c r="D71" s="260">
        <f>'CSII assumptions&amp;unit costs'!$B$45</f>
        <v>1</v>
      </c>
      <c r="E71" s="658">
        <f>$C$71*$D$71</f>
        <v>28.606682808716709</v>
      </c>
      <c r="F71" s="675">
        <f>'CSII assumptions&amp;unit costs'!$C$45</f>
        <v>28.606682808716709</v>
      </c>
      <c r="G71" s="298">
        <f>'CSII assumptions&amp;unit costs'!$B$45</f>
        <v>1</v>
      </c>
      <c r="H71" s="660">
        <f>$F$71*$G$71</f>
        <v>28.606682808716709</v>
      </c>
    </row>
    <row r="72" spans="1:8" s="469" customFormat="1" ht="15.75" customHeight="1">
      <c r="A72" s="370"/>
      <c r="B72" s="240" t="s">
        <v>661</v>
      </c>
      <c r="C72" s="647"/>
      <c r="D72" s="228"/>
      <c r="E72" s="645">
        <f>SUM($E$68:$E$71)</f>
        <v>315.88710721949366</v>
      </c>
      <c r="F72" s="646"/>
      <c r="G72" s="228"/>
      <c r="H72" s="312">
        <f>SUM($H$68:$H$71)</f>
        <v>315.88710721949366</v>
      </c>
    </row>
    <row r="73" spans="1:8" ht="12" customHeight="1">
      <c r="A73" s="1282"/>
      <c r="B73" s="237"/>
      <c r="C73" s="644"/>
      <c r="D73" s="228"/>
      <c r="E73" s="390"/>
      <c r="F73" s="314"/>
      <c r="G73" s="228"/>
      <c r="H73" s="311"/>
    </row>
    <row r="74" spans="1:8">
      <c r="A74" s="1282"/>
      <c r="B74" s="237" t="s">
        <v>434</v>
      </c>
      <c r="C74" s="661">
        <f>'CSII assumptions&amp;unit costs'!$H$30</f>
        <v>82.320133853876186</v>
      </c>
      <c r="D74" s="260">
        <f>$D$66*$D$68</f>
        <v>195.83333333333334</v>
      </c>
      <c r="E74" s="390">
        <f>$C$74*$D$74</f>
        <v>16121.026213050754</v>
      </c>
      <c r="F74" s="634">
        <f>'CSII assumptions&amp;unit costs'!$H$30</f>
        <v>82.320133853876186</v>
      </c>
      <c r="G74" s="298">
        <f>$G$66*$G$68</f>
        <v>0</v>
      </c>
      <c r="H74" s="309">
        <f>$F$74*$G$74</f>
        <v>0</v>
      </c>
    </row>
    <row r="75" spans="1:8">
      <c r="A75" s="1282"/>
      <c r="B75" s="237" t="s">
        <v>435</v>
      </c>
      <c r="C75" s="661">
        <f>'CSII assumptions&amp;unit costs'!$H$31</f>
        <v>34.160048426150126</v>
      </c>
      <c r="D75" s="260">
        <f>($D$66*$D$69)+($D$30*$D$70)</f>
        <v>861.66666666666674</v>
      </c>
      <c r="E75" s="390">
        <f>$C$75*$D$75</f>
        <v>29434.575060532694</v>
      </c>
      <c r="F75" s="634">
        <f>'CSII assumptions&amp;unit costs'!$H$31</f>
        <v>34.160048426150126</v>
      </c>
      <c r="G75" s="298">
        <f>($G$66*$G$69)+($G$30*$G$70)</f>
        <v>0</v>
      </c>
      <c r="H75" s="309">
        <f>$F$75*$G$75</f>
        <v>0</v>
      </c>
    </row>
    <row r="76" spans="1:8">
      <c r="A76" s="1282"/>
      <c r="B76" s="237" t="s">
        <v>436</v>
      </c>
      <c r="C76" s="661">
        <f>'CSII assumptions&amp;unit costs'!$H$32</f>
        <v>28.606682808716709</v>
      </c>
      <c r="D76" s="260">
        <f>$D$66*$D$71</f>
        <v>195.83333333333334</v>
      </c>
      <c r="E76" s="390">
        <f>$C$76*$D$76</f>
        <v>5602.1420500403556</v>
      </c>
      <c r="F76" s="634">
        <f>'CSII assumptions&amp;unit costs'!$H$32</f>
        <v>28.606682808716709</v>
      </c>
      <c r="G76" s="298">
        <f>$G$66*$G$71</f>
        <v>0</v>
      </c>
      <c r="H76" s="309">
        <f>$F$76*$G$76</f>
        <v>0</v>
      </c>
    </row>
    <row r="77" spans="1:8" s="469" customFormat="1" ht="15.75">
      <c r="A77" s="370"/>
      <c r="B77" s="240" t="s">
        <v>418</v>
      </c>
      <c r="C77" s="647"/>
      <c r="D77" s="228">
        <f>SUM($D$74:$D$76,1)</f>
        <v>1254.3333333333333</v>
      </c>
      <c r="E77" s="645">
        <f>SUM($E$74:$E$76)</f>
        <v>51157.743323623807</v>
      </c>
      <c r="F77" s="646"/>
      <c r="G77" s="228">
        <f>SUM($G$74:$G$76)</f>
        <v>0</v>
      </c>
      <c r="H77" s="312">
        <f>SUM($H$74:$H$76)</f>
        <v>0</v>
      </c>
    </row>
    <row r="78" spans="1:8" ht="8.25" customHeight="1">
      <c r="A78" s="1282"/>
      <c r="B78" s="237"/>
      <c r="C78" s="644"/>
      <c r="D78" s="228"/>
      <c r="E78" s="390"/>
      <c r="F78" s="314"/>
      <c r="G78" s="228"/>
      <c r="H78" s="311"/>
    </row>
    <row r="79" spans="1:8">
      <c r="A79" s="1282"/>
      <c r="B79" s="652"/>
      <c r="C79" s="653"/>
      <c r="D79" s="235"/>
      <c r="E79" s="654"/>
      <c r="F79" s="655"/>
      <c r="G79" s="235"/>
      <c r="H79" s="656"/>
    </row>
    <row r="80" spans="1:8" ht="9" customHeight="1">
      <c r="A80" s="1282"/>
      <c r="B80" s="237"/>
      <c r="C80" s="644"/>
      <c r="D80" s="228"/>
      <c r="E80" s="390"/>
      <c r="F80" s="314"/>
      <c r="G80" s="228"/>
      <c r="H80" s="311"/>
    </row>
    <row r="81" spans="1:8" ht="25.5">
      <c r="A81" s="1282"/>
      <c r="B81" s="240" t="s">
        <v>437</v>
      </c>
      <c r="C81" s="662"/>
      <c r="D81" s="260"/>
      <c r="E81" s="617"/>
      <c r="F81" s="663"/>
      <c r="G81" s="260"/>
      <c r="H81" s="664"/>
    </row>
    <row r="82" spans="1:8">
      <c r="A82" s="1282"/>
      <c r="B82" s="237"/>
      <c r="C82" s="662"/>
      <c r="D82" s="260"/>
      <c r="E82" s="617"/>
      <c r="F82" s="663"/>
      <c r="G82" s="260"/>
      <c r="H82" s="664"/>
    </row>
    <row r="83" spans="1:8" ht="25.5">
      <c r="A83" s="1282"/>
      <c r="B83" s="237" t="s">
        <v>427</v>
      </c>
      <c r="C83" s="662"/>
      <c r="D83" s="260">
        <f>$D$31</f>
        <v>44</v>
      </c>
      <c r="E83" s="617"/>
      <c r="F83" s="663"/>
      <c r="G83" s="298">
        <f>$G$31</f>
        <v>0</v>
      </c>
      <c r="H83" s="664"/>
    </row>
    <row r="84" spans="1:8" ht="25.5">
      <c r="A84" s="1282"/>
      <c r="B84" s="237" t="s">
        <v>428</v>
      </c>
      <c r="C84" s="662"/>
      <c r="D84" s="260">
        <f>'CSII assumptions&amp;unit costs'!$D$18</f>
        <v>19</v>
      </c>
      <c r="E84" s="617"/>
      <c r="F84" s="663"/>
      <c r="G84" s="298">
        <f>+IF($F$5="Select NHS board",0,VLOOKUP($F$5,'STEP 1.Select NHS Board'!$A$8:$O$25,7,0))</f>
        <v>0</v>
      </c>
      <c r="H84" s="664"/>
    </row>
    <row r="85" spans="1:8" s="469" customFormat="1" ht="15.75">
      <c r="A85" s="370"/>
      <c r="B85" s="240" t="s">
        <v>482</v>
      </c>
      <c r="C85" s="647"/>
      <c r="D85" s="228">
        <f>SUM($D$83:$D$84)</f>
        <v>63</v>
      </c>
      <c r="E85" s="645"/>
      <c r="F85" s="646"/>
      <c r="G85" s="228">
        <f>SUM($G$83:$G$84)</f>
        <v>0</v>
      </c>
      <c r="H85" s="648"/>
    </row>
    <row r="86" spans="1:8">
      <c r="A86" s="1282"/>
      <c r="B86" s="237"/>
      <c r="C86" s="662"/>
      <c r="D86" s="260"/>
      <c r="E86" s="617"/>
      <c r="F86" s="663"/>
      <c r="G86" s="260"/>
      <c r="H86" s="664"/>
    </row>
    <row r="87" spans="1:8" ht="25.5">
      <c r="A87" s="1282"/>
      <c r="B87" s="237" t="s">
        <v>430</v>
      </c>
      <c r="C87" s="657">
        <f>'CSII assumptions&amp;unit costs'!$B$56</f>
        <v>34.160048426150126</v>
      </c>
      <c r="D87" s="260">
        <f>'CSII assumptions&amp;unit costs'!$B$55</f>
        <v>19</v>
      </c>
      <c r="E87" s="617">
        <f>$C$87*$D$87</f>
        <v>649.04092009685246</v>
      </c>
      <c r="F87" s="675">
        <f>'CSII assumptions&amp;unit costs'!$B$56</f>
        <v>34.160048426150126</v>
      </c>
      <c r="G87" s="298">
        <f>'CSII assumptions&amp;unit costs'!$B$55</f>
        <v>19</v>
      </c>
      <c r="H87" s="306">
        <f>$F$87*$G$87</f>
        <v>649.04092009685246</v>
      </c>
    </row>
    <row r="88" spans="1:8" ht="25.5">
      <c r="A88" s="1282"/>
      <c r="B88" s="237" t="s">
        <v>431</v>
      </c>
      <c r="C88" s="657">
        <f>'CSII assumptions&amp;unit costs'!$C$56</f>
        <v>28.606682808716709</v>
      </c>
      <c r="D88" s="665">
        <f>'CSII assumptions&amp;unit costs'!$C$55</f>
        <v>0.5</v>
      </c>
      <c r="E88" s="617">
        <f>$C$88*$D$88</f>
        <v>14.303341404358354</v>
      </c>
      <c r="F88" s="675">
        <f>'CSII assumptions&amp;unit costs'!$C$56</f>
        <v>28.606682808716709</v>
      </c>
      <c r="G88" s="676">
        <f>'CSII assumptions&amp;unit costs'!$C$55</f>
        <v>0.5</v>
      </c>
      <c r="H88" s="306">
        <f>$F$88*$G$88</f>
        <v>14.303341404358354</v>
      </c>
    </row>
    <row r="89" spans="1:8" ht="25.5">
      <c r="A89" s="1282"/>
      <c r="B89" s="237" t="s">
        <v>433</v>
      </c>
      <c r="C89" s="657">
        <f>'CSII assumptions&amp;unit costs'!$D$56</f>
        <v>82.320133853876186</v>
      </c>
      <c r="D89" s="665">
        <f>'CSII assumptions&amp;unit costs'!$D$55</f>
        <v>0.5</v>
      </c>
      <c r="E89" s="617">
        <f>$C$89*$D$89</f>
        <v>41.160066926938093</v>
      </c>
      <c r="F89" s="675">
        <f>'CSII assumptions&amp;unit costs'!$D$56</f>
        <v>82.320133853876186</v>
      </c>
      <c r="G89" s="676">
        <f>'CSII assumptions&amp;unit costs'!$D$55</f>
        <v>0.5</v>
      </c>
      <c r="H89" s="306">
        <f>$F$89*$G$89</f>
        <v>41.160066926938093</v>
      </c>
    </row>
    <row r="90" spans="1:8">
      <c r="A90" s="1282"/>
      <c r="B90" s="237" t="s">
        <v>443</v>
      </c>
      <c r="C90" s="657">
        <f>'CSII assumptions&amp;unit costs'!$H$33</f>
        <v>13.041904761904762</v>
      </c>
      <c r="D90" s="260">
        <v>1</v>
      </c>
      <c r="E90" s="658">
        <f>$C$90*$D$90</f>
        <v>13.041904761904762</v>
      </c>
      <c r="F90" s="675">
        <f>'CSII assumptions&amp;unit costs'!$H$33</f>
        <v>13.041904761904762</v>
      </c>
      <c r="G90" s="298">
        <v>1</v>
      </c>
      <c r="H90" s="660">
        <f>$F$90*$G$90</f>
        <v>13.041904761904762</v>
      </c>
    </row>
    <row r="91" spans="1:8" s="469" customFormat="1" ht="15.75">
      <c r="A91" s="370"/>
      <c r="B91" s="240" t="s">
        <v>661</v>
      </c>
      <c r="C91" s="647"/>
      <c r="D91" s="228"/>
      <c r="E91" s="645">
        <f>SUM($E$87:$E$90)</f>
        <v>717.54623319005361</v>
      </c>
      <c r="F91" s="646"/>
      <c r="G91" s="228"/>
      <c r="H91" s="312">
        <f>SUM($H$87:$H$90)</f>
        <v>717.54623319005361</v>
      </c>
    </row>
    <row r="92" spans="1:8" s="469" customFormat="1" ht="15.75">
      <c r="A92" s="370"/>
      <c r="B92" s="240"/>
      <c r="C92" s="647"/>
      <c r="D92" s="228"/>
      <c r="E92" s="645"/>
      <c r="F92" s="646"/>
      <c r="G92" s="228"/>
      <c r="H92" s="312"/>
    </row>
    <row r="93" spans="1:8">
      <c r="A93" s="1282"/>
      <c r="B93" s="240" t="s">
        <v>425</v>
      </c>
      <c r="C93" s="662"/>
      <c r="D93" s="260"/>
      <c r="E93" s="617"/>
      <c r="F93" s="663"/>
      <c r="G93" s="260"/>
      <c r="H93" s="664"/>
    </row>
    <row r="94" spans="1:8" ht="25.5">
      <c r="A94" s="1282"/>
      <c r="B94" s="237" t="s">
        <v>448</v>
      </c>
      <c r="C94" s="657">
        <f>'CSII assumptions&amp;unit costs'!$B$56</f>
        <v>34.160048426150126</v>
      </c>
      <c r="D94" s="260">
        <f>$D$83*$D$87</f>
        <v>836</v>
      </c>
      <c r="E94" s="617">
        <f>$C$94*$D$94</f>
        <v>28557.800484261505</v>
      </c>
      <c r="F94" s="675">
        <f>'CSII assumptions&amp;unit costs'!$B$56</f>
        <v>34.160048426150126</v>
      </c>
      <c r="G94" s="298">
        <f>$G$83*$G$87</f>
        <v>0</v>
      </c>
      <c r="H94" s="306">
        <f>$F$94*$G$94</f>
        <v>0</v>
      </c>
    </row>
    <row r="95" spans="1:8" ht="25.5">
      <c r="A95" s="1282"/>
      <c r="B95" s="237" t="s">
        <v>449</v>
      </c>
      <c r="C95" s="657">
        <f>'CSII assumptions&amp;unit costs'!$C$56</f>
        <v>28.606682808716709</v>
      </c>
      <c r="D95" s="260">
        <f>$D$83*$D$88</f>
        <v>22</v>
      </c>
      <c r="E95" s="617">
        <f>$C$95*$D$95</f>
        <v>629.34702179176759</v>
      </c>
      <c r="F95" s="675">
        <f>'CSII assumptions&amp;unit costs'!$C$56</f>
        <v>28.606682808716709</v>
      </c>
      <c r="G95" s="298">
        <f>ROUNDDOWN($G$83*$G$88,1)</f>
        <v>0</v>
      </c>
      <c r="H95" s="306">
        <f>$F$95*$G$95</f>
        <v>0</v>
      </c>
    </row>
    <row r="96" spans="1:8" ht="25.5">
      <c r="A96" s="1282"/>
      <c r="B96" s="237" t="s">
        <v>450</v>
      </c>
      <c r="C96" s="657">
        <f>'CSII assumptions&amp;unit costs'!$D$56</f>
        <v>82.320133853876186</v>
      </c>
      <c r="D96" s="260">
        <f>$D$83*$D$89</f>
        <v>22</v>
      </c>
      <c r="E96" s="617">
        <f>$C$96*$D$96</f>
        <v>1811.0429447852762</v>
      </c>
      <c r="F96" s="675">
        <f>'CSII assumptions&amp;unit costs'!$D$56</f>
        <v>82.320133853876186</v>
      </c>
      <c r="G96" s="298">
        <f>ROUNDDOWN($G$83*$G$89,1)</f>
        <v>0</v>
      </c>
      <c r="H96" s="306">
        <f>$F$96*$G$96</f>
        <v>0</v>
      </c>
    </row>
    <row r="97" spans="1:8">
      <c r="A97" s="1282"/>
      <c r="B97" s="237" t="s">
        <v>451</v>
      </c>
      <c r="C97" s="657">
        <f>'CSII assumptions&amp;unit costs'!$H$33</f>
        <v>13.041904761904762</v>
      </c>
      <c r="D97" s="260">
        <f>$D$83</f>
        <v>44</v>
      </c>
      <c r="E97" s="617">
        <f>$C$97*$D$97</f>
        <v>573.84380952380957</v>
      </c>
      <c r="F97" s="675">
        <f>'CSII assumptions&amp;unit costs'!$H$33</f>
        <v>13.041904761904762</v>
      </c>
      <c r="G97" s="298">
        <f>ROUNDDOWN($G$83,-1)</f>
        <v>0</v>
      </c>
      <c r="H97" s="306">
        <f>$F$97*$G$97</f>
        <v>0</v>
      </c>
    </row>
    <row r="98" spans="1:8" s="469" customFormat="1" ht="15.75">
      <c r="A98" s="370"/>
      <c r="B98" s="240" t="s">
        <v>439</v>
      </c>
      <c r="C98" s="657"/>
      <c r="D98" s="228">
        <f>SUM($D$94:$D$97)</f>
        <v>924</v>
      </c>
      <c r="E98" s="645">
        <f>SUM($E$94:$E$97)</f>
        <v>31572.034260362358</v>
      </c>
      <c r="F98" s="666"/>
      <c r="G98" s="228">
        <f>SUM($G$94:$G$97)</f>
        <v>0</v>
      </c>
      <c r="H98" s="312">
        <f>SUM($H$94:$H$97)</f>
        <v>0</v>
      </c>
    </row>
    <row r="99" spans="1:8">
      <c r="A99" s="1282"/>
      <c r="B99" s="237"/>
      <c r="C99" s="662"/>
      <c r="D99" s="260"/>
      <c r="E99" s="617"/>
      <c r="F99" s="663"/>
      <c r="G99" s="260"/>
      <c r="H99" s="664"/>
    </row>
    <row r="100" spans="1:8">
      <c r="A100" s="1282"/>
      <c r="B100" s="240" t="s">
        <v>438</v>
      </c>
      <c r="C100" s="662"/>
      <c r="D100" s="260"/>
      <c r="E100" s="617"/>
      <c r="F100" s="663"/>
      <c r="G100" s="260"/>
      <c r="H100" s="664"/>
    </row>
    <row r="101" spans="1:8" ht="25.5">
      <c r="A101" s="1282"/>
      <c r="B101" s="237" t="s">
        <v>448</v>
      </c>
      <c r="C101" s="657">
        <f>'CSII assumptions&amp;unit costs'!$B$56</f>
        <v>34.160048426150126</v>
      </c>
      <c r="D101" s="260">
        <f>D$84*D87</f>
        <v>361</v>
      </c>
      <c r="E101" s="617">
        <f>$C$101*$D$101</f>
        <v>12331.777481840196</v>
      </c>
      <c r="F101" s="675">
        <f>'CSII assumptions&amp;unit costs'!$B$56</f>
        <v>34.160048426150126</v>
      </c>
      <c r="G101" s="298">
        <f>G$84*$G$87</f>
        <v>0</v>
      </c>
      <c r="H101" s="306">
        <f>$F$101*$G$101</f>
        <v>0</v>
      </c>
    </row>
    <row r="102" spans="1:8" ht="25.5">
      <c r="A102" s="1282"/>
      <c r="B102" s="237" t="s">
        <v>449</v>
      </c>
      <c r="C102" s="657">
        <f>'CSII assumptions&amp;unit costs'!$C$56</f>
        <v>28.606682808716709</v>
      </c>
      <c r="D102" s="260">
        <f>D$84*D88</f>
        <v>9.5</v>
      </c>
      <c r="E102" s="617">
        <f>$C$102*$D$102</f>
        <v>271.76348668280872</v>
      </c>
      <c r="F102" s="675">
        <f>'CSII assumptions&amp;unit costs'!$C$56</f>
        <v>28.606682808716709</v>
      </c>
      <c r="G102" s="298">
        <f>G$84*$G$88</f>
        <v>0</v>
      </c>
      <c r="H102" s="306">
        <f>$F$102*$G$102</f>
        <v>0</v>
      </c>
    </row>
    <row r="103" spans="1:8" ht="25.5">
      <c r="A103" s="1282"/>
      <c r="B103" s="237" t="s">
        <v>450</v>
      </c>
      <c r="C103" s="657">
        <f>'CSII assumptions&amp;unit costs'!$D$56</f>
        <v>82.320133853876186</v>
      </c>
      <c r="D103" s="260">
        <f>D$84*D89</f>
        <v>9.5</v>
      </c>
      <c r="E103" s="617">
        <f>$C$103*$D$103</f>
        <v>782.04127161182373</v>
      </c>
      <c r="F103" s="675">
        <f>'CSII assumptions&amp;unit costs'!$D$56</f>
        <v>82.320133853876186</v>
      </c>
      <c r="G103" s="298">
        <f>G$84*$G$89</f>
        <v>0</v>
      </c>
      <c r="H103" s="306">
        <f>$F$103*$G$103</f>
        <v>0</v>
      </c>
    </row>
    <row r="104" spans="1:8">
      <c r="A104" s="1282"/>
      <c r="B104" s="237" t="s">
        <v>451</v>
      </c>
      <c r="C104" s="657">
        <f>'CSII assumptions&amp;unit costs'!$H$33</f>
        <v>13.041904761904762</v>
      </c>
      <c r="D104" s="260">
        <f>$D$84</f>
        <v>19</v>
      </c>
      <c r="E104" s="617">
        <f>$C$104*$D$104</f>
        <v>247.79619047619047</v>
      </c>
      <c r="F104" s="675">
        <f>'CSII assumptions&amp;unit costs'!$H$33</f>
        <v>13.041904761904762</v>
      </c>
      <c r="G104" s="298">
        <f>$G$84</f>
        <v>0</v>
      </c>
      <c r="H104" s="306">
        <f>$F$104*$G$104</f>
        <v>0</v>
      </c>
    </row>
    <row r="105" spans="1:8" ht="4.5" customHeight="1">
      <c r="A105" s="1282"/>
      <c r="B105" s="237"/>
      <c r="C105" s="657"/>
      <c r="D105" s="260"/>
      <c r="E105" s="315"/>
      <c r="F105" s="659"/>
      <c r="G105" s="471"/>
      <c r="H105" s="306"/>
    </row>
    <row r="106" spans="1:8" ht="11.25" customHeight="1">
      <c r="A106" s="1282"/>
      <c r="B106" s="237"/>
      <c r="C106" s="657"/>
      <c r="D106" s="260"/>
      <c r="E106" s="315"/>
      <c r="F106" s="666"/>
      <c r="G106" s="260"/>
      <c r="H106" s="306"/>
    </row>
    <row r="107" spans="1:8" s="469" customFormat="1" ht="15.75">
      <c r="A107" s="370"/>
      <c r="B107" s="237" t="s">
        <v>483</v>
      </c>
      <c r="C107" s="647"/>
      <c r="D107" s="228"/>
      <c r="E107" s="313">
        <f>$E$94+$E$101</f>
        <v>40889.5779661017</v>
      </c>
      <c r="F107" s="667"/>
      <c r="G107" s="228"/>
      <c r="H107" s="312">
        <f>$H$94+$H$101</f>
        <v>0</v>
      </c>
    </row>
    <row r="108" spans="1:8" s="469" customFormat="1" ht="15.75">
      <c r="A108" s="370"/>
      <c r="B108" s="237" t="s">
        <v>656</v>
      </c>
      <c r="C108" s="647"/>
      <c r="D108" s="228"/>
      <c r="E108" s="313">
        <f>$E$95+$E$102</f>
        <v>901.11050847457636</v>
      </c>
      <c r="F108" s="667"/>
      <c r="G108" s="228"/>
      <c r="H108" s="312">
        <f>$H$95+$H$102</f>
        <v>0</v>
      </c>
    </row>
    <row r="109" spans="1:8" s="469" customFormat="1" ht="15.75">
      <c r="A109" s="370"/>
      <c r="B109" s="237" t="s">
        <v>657</v>
      </c>
      <c r="C109" s="647"/>
      <c r="D109" s="228"/>
      <c r="E109" s="313">
        <f>$E$96+$E$103</f>
        <v>2593.0842163971001</v>
      </c>
      <c r="F109" s="667"/>
      <c r="G109" s="228"/>
      <c r="H109" s="312">
        <f>$H$96+$H$103</f>
        <v>0</v>
      </c>
    </row>
    <row r="110" spans="1:8" ht="15.75" customHeight="1">
      <c r="A110" s="1282"/>
      <c r="B110" s="237" t="s">
        <v>346</v>
      </c>
      <c r="C110" s="657"/>
      <c r="D110" s="260"/>
      <c r="E110" s="313">
        <f>$E$97+$E$104</f>
        <v>821.6400000000001</v>
      </c>
      <c r="F110" s="666"/>
      <c r="G110" s="260"/>
      <c r="H110" s="312">
        <f>$H$97+$H$104</f>
        <v>0</v>
      </c>
    </row>
    <row r="111" spans="1:8" s="469" customFormat="1" ht="15.75">
      <c r="A111" s="370"/>
      <c r="B111" s="240" t="s">
        <v>452</v>
      </c>
      <c r="C111" s="647"/>
      <c r="D111" s="228"/>
      <c r="E111" s="313">
        <f>SUM($E$101:$E$104)</f>
        <v>13633.378430611019</v>
      </c>
      <c r="F111" s="667"/>
      <c r="G111" s="228"/>
      <c r="H111" s="312">
        <f>SUM($H$101:$H$104)</f>
        <v>0</v>
      </c>
    </row>
    <row r="112" spans="1:8" s="469" customFormat="1" ht="15.75">
      <c r="A112" s="370"/>
      <c r="B112" s="240" t="s">
        <v>454</v>
      </c>
      <c r="C112" s="647"/>
      <c r="D112" s="228"/>
      <c r="E112" s="313">
        <f>$E$98+$E$111</f>
        <v>45205.412690973375</v>
      </c>
      <c r="F112" s="667"/>
      <c r="G112" s="228"/>
      <c r="H112" s="312">
        <f>$H$98+$H$111</f>
        <v>0</v>
      </c>
    </row>
    <row r="113" spans="1:8" ht="6" customHeight="1">
      <c r="A113" s="1282"/>
      <c r="B113" s="237"/>
      <c r="C113" s="662"/>
      <c r="D113" s="260"/>
      <c r="E113" s="617"/>
      <c r="F113" s="663"/>
      <c r="G113" s="260"/>
      <c r="H113" s="664"/>
    </row>
    <row r="114" spans="1:8">
      <c r="A114" s="1282"/>
      <c r="B114" s="652"/>
      <c r="C114" s="653"/>
      <c r="D114" s="235"/>
      <c r="E114" s="654"/>
      <c r="F114" s="655"/>
      <c r="G114" s="235"/>
      <c r="H114" s="656"/>
    </row>
    <row r="115" spans="1:8" ht="7.5" customHeight="1">
      <c r="A115" s="1282"/>
      <c r="B115" s="237"/>
      <c r="C115" s="662"/>
      <c r="D115" s="260"/>
      <c r="E115" s="617"/>
      <c r="F115" s="663"/>
      <c r="G115" s="260"/>
      <c r="H115" s="664"/>
    </row>
    <row r="116" spans="1:8" ht="25.5">
      <c r="A116" s="1282"/>
      <c r="B116" s="240" t="s">
        <v>453</v>
      </c>
      <c r="C116" s="662"/>
      <c r="D116" s="260"/>
      <c r="E116" s="617"/>
      <c r="F116" s="663"/>
      <c r="G116" s="260"/>
      <c r="H116" s="664"/>
    </row>
    <row r="117" spans="1:8" ht="9" customHeight="1">
      <c r="A117" s="1282"/>
      <c r="B117" s="237"/>
      <c r="C117" s="662"/>
      <c r="D117" s="260"/>
      <c r="E117" s="617"/>
      <c r="F117" s="663"/>
      <c r="G117" s="260"/>
      <c r="H117" s="664"/>
    </row>
    <row r="118" spans="1:8">
      <c r="A118" s="1282"/>
      <c r="B118" s="237" t="s">
        <v>469</v>
      </c>
      <c r="C118" s="662"/>
      <c r="D118" s="260">
        <f>'CSII assumptions&amp;unit costs'!$E$18</f>
        <v>407</v>
      </c>
      <c r="E118" s="617"/>
      <c r="F118" s="663"/>
      <c r="G118" s="298">
        <f>+IF($F$5="Select NHS board",0,VLOOKUP($F$5,'CSII assumptions&amp;unit costs'!$A$4:$E$17,5,0))</f>
        <v>0</v>
      </c>
      <c r="H118" s="664"/>
    </row>
    <row r="119" spans="1:8">
      <c r="A119" s="1282"/>
      <c r="B119" s="237"/>
      <c r="C119" s="662"/>
      <c r="D119" s="260"/>
      <c r="E119" s="617"/>
      <c r="F119" s="663"/>
      <c r="G119" s="260"/>
      <c r="H119" s="664"/>
    </row>
    <row r="120" spans="1:8">
      <c r="A120" s="1282"/>
      <c r="B120" s="237" t="s">
        <v>470</v>
      </c>
      <c r="C120" s="657">
        <f>'CSII assumptions&amp;unit costs'!$B$71</f>
        <v>34.160048426150126</v>
      </c>
      <c r="D120" s="260">
        <f>'CSII assumptions&amp;unit costs'!$B$70</f>
        <v>13</v>
      </c>
      <c r="E120" s="617">
        <f>$C$120*$D$120</f>
        <v>444.08062953995164</v>
      </c>
      <c r="F120" s="675">
        <f>'CSII assumptions&amp;unit costs'!$B$71</f>
        <v>34.160048426150126</v>
      </c>
      <c r="G120" s="298">
        <f>'CSII assumptions&amp;unit costs'!$B$70</f>
        <v>13</v>
      </c>
      <c r="H120" s="306">
        <f>$F$120*$G$120</f>
        <v>444.08062953995164</v>
      </c>
    </row>
    <row r="121" spans="1:8">
      <c r="A121" s="1282"/>
      <c r="B121" s="237" t="s">
        <v>471</v>
      </c>
      <c r="C121" s="657">
        <f>'CSII assumptions&amp;unit costs'!$C$71</f>
        <v>28.606682808716709</v>
      </c>
      <c r="D121" s="665">
        <f>'CSII assumptions&amp;unit costs'!$C$70</f>
        <v>0.5</v>
      </c>
      <c r="E121" s="658">
        <f>$C$121*$D$121</f>
        <v>14.303341404358354</v>
      </c>
      <c r="F121" s="675">
        <f>'CSII assumptions&amp;unit costs'!$C$71</f>
        <v>28.606682808716709</v>
      </c>
      <c r="G121" s="676">
        <f>'CSII assumptions&amp;unit costs'!$C$70</f>
        <v>0.5</v>
      </c>
      <c r="H121" s="660">
        <f>$F$121*$G$121</f>
        <v>14.303341404358354</v>
      </c>
    </row>
    <row r="122" spans="1:8">
      <c r="A122" s="1282"/>
      <c r="B122" s="237" t="s">
        <v>472</v>
      </c>
      <c r="C122" s="657">
        <f>'CSII assumptions&amp;unit costs'!$D$71</f>
        <v>82.320133853876186</v>
      </c>
      <c r="D122" s="665">
        <f>'CSII assumptions&amp;unit costs'!$D$70</f>
        <v>0.5</v>
      </c>
      <c r="E122" s="658">
        <f>$C$122*$D$122</f>
        <v>41.160066926938093</v>
      </c>
      <c r="F122" s="675">
        <f>'CSII assumptions&amp;unit costs'!$D$71</f>
        <v>82.320133853876186</v>
      </c>
      <c r="G122" s="676">
        <f>'CSII assumptions&amp;unit costs'!$D$70</f>
        <v>0.5</v>
      </c>
      <c r="H122" s="660">
        <f>$F$122*$G$122</f>
        <v>41.160066926938093</v>
      </c>
    </row>
    <row r="123" spans="1:8" ht="16.5" customHeight="1">
      <c r="A123" s="1282"/>
      <c r="B123" s="240" t="s">
        <v>661</v>
      </c>
      <c r="C123" s="662"/>
      <c r="D123" s="260"/>
      <c r="E123" s="668">
        <f>SUM($E$120:$E$122)</f>
        <v>499.54403787124812</v>
      </c>
      <c r="F123" s="663"/>
      <c r="G123" s="260"/>
      <c r="H123" s="669">
        <f>SUM($H$120:$H$122)</f>
        <v>499.54403787124812</v>
      </c>
    </row>
    <row r="124" spans="1:8" ht="9.75" customHeight="1">
      <c r="A124" s="1282"/>
      <c r="B124" s="240"/>
      <c r="C124" s="662"/>
      <c r="D124" s="260"/>
      <c r="E124" s="617"/>
      <c r="F124" s="663"/>
      <c r="G124" s="260"/>
      <c r="H124" s="664"/>
    </row>
    <row r="125" spans="1:8">
      <c r="A125" s="1282"/>
      <c r="B125" s="237" t="s">
        <v>473</v>
      </c>
      <c r="C125" s="657">
        <f>'CSII assumptions&amp;unit costs'!$B$71</f>
        <v>34.160048426150126</v>
      </c>
      <c r="D125" s="260">
        <f>$D$118*$D$120</f>
        <v>5291</v>
      </c>
      <c r="E125" s="617">
        <f>$C$125*$D$125</f>
        <v>180740.81622276033</v>
      </c>
      <c r="F125" s="675">
        <f>'CSII assumptions&amp;unit costs'!$B$71</f>
        <v>34.160048426150126</v>
      </c>
      <c r="G125" s="298">
        <f>$G$118*$G$120</f>
        <v>0</v>
      </c>
      <c r="H125" s="306">
        <f>$F$125*$G$125</f>
        <v>0</v>
      </c>
    </row>
    <row r="126" spans="1:8">
      <c r="A126" s="1282"/>
      <c r="B126" s="237" t="s">
        <v>474</v>
      </c>
      <c r="C126" s="657">
        <f>'CSII assumptions&amp;unit costs'!$C$71</f>
        <v>28.606682808716709</v>
      </c>
      <c r="D126" s="260">
        <f>$D$118*$D$121</f>
        <v>203.5</v>
      </c>
      <c r="E126" s="617">
        <f>$C$126*$D$126</f>
        <v>5821.45995157385</v>
      </c>
      <c r="F126" s="675">
        <f>'CSII assumptions&amp;unit costs'!$C$71</f>
        <v>28.606682808716709</v>
      </c>
      <c r="G126" s="298">
        <f>$G$118*$G$121</f>
        <v>0</v>
      </c>
      <c r="H126" s="306">
        <f>$F$126*$G$126</f>
        <v>0</v>
      </c>
    </row>
    <row r="127" spans="1:8">
      <c r="A127" s="1282"/>
      <c r="B127" s="237" t="s">
        <v>475</v>
      </c>
      <c r="C127" s="657">
        <f>'CSII assumptions&amp;unit costs'!$D$71</f>
        <v>82.320133853876186</v>
      </c>
      <c r="D127" s="260">
        <f>$D$118*$D$122</f>
        <v>203.5</v>
      </c>
      <c r="E127" s="617">
        <f>$C$127*$D$127</f>
        <v>16752.147239263802</v>
      </c>
      <c r="F127" s="675">
        <f>'CSII assumptions&amp;unit costs'!$D$71</f>
        <v>82.320133853876186</v>
      </c>
      <c r="G127" s="298">
        <f>$G$118*$G$122</f>
        <v>0</v>
      </c>
      <c r="H127" s="306">
        <f>$F$127*$G$127</f>
        <v>0</v>
      </c>
    </row>
    <row r="128" spans="1:8" s="469" customFormat="1" ht="15.75">
      <c r="A128" s="370"/>
      <c r="B128" s="240" t="s">
        <v>478</v>
      </c>
      <c r="C128" s="647"/>
      <c r="D128" s="228">
        <f>SUM(D125:D127)</f>
        <v>5698</v>
      </c>
      <c r="E128" s="228">
        <f>SUM($E$125:$E$127)</f>
        <v>203314.42341359798</v>
      </c>
      <c r="F128" s="670"/>
      <c r="G128" s="228">
        <f>SUM(G125:G127)</f>
        <v>0</v>
      </c>
      <c r="H128" s="467">
        <f>SUM($H$125:$H$127)</f>
        <v>0</v>
      </c>
    </row>
    <row r="129" spans="1:8">
      <c r="A129" s="1282"/>
      <c r="B129" s="652"/>
      <c r="C129" s="653"/>
      <c r="D129" s="235"/>
      <c r="E129" s="654"/>
      <c r="F129" s="655"/>
      <c r="G129" s="235"/>
      <c r="H129" s="656"/>
    </row>
    <row r="130" spans="1:8" ht="29.25" customHeight="1">
      <c r="A130" s="1282"/>
      <c r="B130" s="262" t="s">
        <v>479</v>
      </c>
      <c r="C130" s="662"/>
      <c r="D130" s="260"/>
      <c r="E130" s="671">
        <f>$E$58+$E$77+$E$112+$E$128</f>
        <v>936997.57942819514</v>
      </c>
      <c r="F130" s="663"/>
      <c r="G130" s="260"/>
      <c r="H130" s="648">
        <f>$H$58+$H$77+$H$112+$H$128</f>
        <v>0</v>
      </c>
    </row>
    <row r="131" spans="1:8">
      <c r="A131" s="1282"/>
      <c r="B131" s="237" t="s">
        <v>658</v>
      </c>
      <c r="C131" s="662"/>
      <c r="D131" s="275"/>
      <c r="E131" s="617">
        <f>$E$130-$E$37</f>
        <v>744297.57942819514</v>
      </c>
      <c r="F131" s="663"/>
      <c r="G131" s="260"/>
      <c r="H131" s="306">
        <f>$H$130-$H$37</f>
        <v>0</v>
      </c>
    </row>
    <row r="132" spans="1:8">
      <c r="A132" s="1282"/>
      <c r="B132" s="237" t="s">
        <v>659</v>
      </c>
      <c r="C132" s="662">
        <f>'CSII assumptions&amp;unit costs'!$B$23</f>
        <v>2050</v>
      </c>
      <c r="D132" s="275"/>
      <c r="E132" s="617">
        <f>$C$132*$D$30</f>
        <v>963500</v>
      </c>
      <c r="F132" s="305">
        <f>'CSII assumptions&amp;unit costs'!$B$23</f>
        <v>2050</v>
      </c>
      <c r="G132" s="275"/>
      <c r="H132" s="306">
        <f>$F$132*$G$30</f>
        <v>0</v>
      </c>
    </row>
    <row r="133" spans="1:8">
      <c r="A133" s="1282"/>
      <c r="B133" s="237" t="s">
        <v>660</v>
      </c>
      <c r="C133" s="662"/>
      <c r="D133" s="260"/>
      <c r="E133" s="617">
        <f>$E$132*5</f>
        <v>4817500</v>
      </c>
      <c r="F133" s="663"/>
      <c r="G133" s="260"/>
      <c r="H133" s="306">
        <f>$H$132*5</f>
        <v>0</v>
      </c>
    </row>
    <row r="134" spans="1:8" ht="15.75" thickBot="1">
      <c r="B134" s="415"/>
      <c r="C134" s="637"/>
      <c r="D134" s="346"/>
      <c r="E134" s="638"/>
      <c r="F134" s="672"/>
      <c r="G134" s="346"/>
      <c r="H134" s="349"/>
    </row>
    <row r="135" spans="1:8" ht="15.75" thickTop="1"/>
    <row r="136" spans="1:8">
      <c r="A136" s="1261" t="s">
        <v>151</v>
      </c>
      <c r="B136" s="1249" t="s">
        <v>152</v>
      </c>
    </row>
    <row r="137" spans="1:8" ht="35.25" customHeight="1">
      <c r="A137" s="1281">
        <v>1</v>
      </c>
      <c r="B137" s="1434" t="s">
        <v>871</v>
      </c>
      <c r="C137" s="1434"/>
      <c r="D137" s="1434"/>
      <c r="E137" s="1434"/>
      <c r="F137" s="1434"/>
      <c r="G137" s="1434"/>
      <c r="H137" s="1434"/>
    </row>
    <row r="138" spans="1:8" ht="39.75" customHeight="1">
      <c r="A138" s="1281">
        <v>2</v>
      </c>
      <c r="B138" s="1434" t="s">
        <v>872</v>
      </c>
      <c r="C138" s="1434"/>
      <c r="D138" s="1434"/>
      <c r="E138" s="1434"/>
      <c r="F138" s="1434"/>
      <c r="G138" s="1434"/>
      <c r="H138" s="1434"/>
    </row>
    <row r="139" spans="1:8" ht="28.5" customHeight="1">
      <c r="A139" s="1281">
        <v>3</v>
      </c>
      <c r="B139" s="1434" t="s">
        <v>873</v>
      </c>
      <c r="C139" s="1434"/>
      <c r="D139" s="1434"/>
      <c r="E139" s="1434"/>
      <c r="F139" s="1434"/>
      <c r="G139" s="1434"/>
      <c r="H139" s="1434"/>
    </row>
    <row r="140" spans="1:8" ht="21" customHeight="1">
      <c r="A140" s="1281">
        <v>4</v>
      </c>
      <c r="B140" s="1434" t="s">
        <v>874</v>
      </c>
      <c r="C140" s="1434"/>
      <c r="D140" s="1434"/>
      <c r="E140" s="1434"/>
      <c r="F140" s="1434"/>
      <c r="G140" s="1434"/>
      <c r="H140" s="1434"/>
    </row>
    <row r="141" spans="1:8" ht="21.75" customHeight="1">
      <c r="A141" s="1281">
        <v>5</v>
      </c>
      <c r="B141" s="1434" t="s">
        <v>875</v>
      </c>
      <c r="C141" s="1434"/>
      <c r="D141" s="1434"/>
      <c r="E141" s="1434"/>
      <c r="F141" s="1434"/>
      <c r="G141" s="1434"/>
      <c r="H141" s="1434"/>
    </row>
    <row r="142" spans="1:8" ht="25.5" customHeight="1">
      <c r="A142" s="1281">
        <v>6</v>
      </c>
      <c r="B142" s="1434" t="s">
        <v>876</v>
      </c>
      <c r="C142" s="1434"/>
      <c r="D142" s="1434"/>
      <c r="E142" s="1434"/>
      <c r="F142" s="1434"/>
      <c r="G142" s="1434"/>
      <c r="H142" s="1434"/>
    </row>
    <row r="143" spans="1:8" ht="25.5" customHeight="1">
      <c r="A143" s="1281">
        <v>7</v>
      </c>
      <c r="B143" s="1436" t="s">
        <v>880</v>
      </c>
      <c r="C143" s="1436"/>
      <c r="D143" s="1436"/>
      <c r="E143" s="1436"/>
      <c r="F143" s="1436"/>
      <c r="G143" s="1436"/>
      <c r="H143" s="1436"/>
    </row>
    <row r="144" spans="1:8">
      <c r="B144" s="500"/>
      <c r="C144" s="494"/>
      <c r="D144" s="493"/>
      <c r="E144" s="494"/>
      <c r="F144" s="494"/>
      <c r="G144" s="493"/>
      <c r="H144" s="494"/>
    </row>
    <row r="145" spans="2:8">
      <c r="B145" s="500"/>
      <c r="C145" s="494"/>
      <c r="D145" s="493"/>
      <c r="E145" s="494"/>
      <c r="F145" s="494"/>
      <c r="G145" s="493"/>
      <c r="H145" s="494"/>
    </row>
    <row r="146" spans="2:8">
      <c r="B146" s="500"/>
      <c r="C146" s="494"/>
      <c r="D146" s="493"/>
      <c r="E146" s="494"/>
      <c r="F146" s="494"/>
      <c r="G146" s="493"/>
      <c r="H146" s="494"/>
    </row>
    <row r="147" spans="2:8">
      <c r="B147" s="500"/>
      <c r="C147" s="494"/>
      <c r="D147" s="493"/>
      <c r="E147" s="494"/>
      <c r="F147" s="494"/>
      <c r="G147" s="493"/>
      <c r="H147" s="494"/>
    </row>
  </sheetData>
  <mergeCells count="11">
    <mergeCell ref="B140:H140"/>
    <mergeCell ref="B141:H141"/>
    <mergeCell ref="B142:H142"/>
    <mergeCell ref="A68:A71"/>
    <mergeCell ref="B143:H143"/>
    <mergeCell ref="B139:H139"/>
    <mergeCell ref="F7:H7"/>
    <mergeCell ref="A1:G1"/>
    <mergeCell ref="C5:E5"/>
    <mergeCell ref="B137:H137"/>
    <mergeCell ref="B138:H138"/>
  </mergeCells>
  <phoneticPr fontId="4" type="noConversion"/>
  <dataValidations disablePrompts="1" count="2">
    <dataValidation allowBlank="1" showInputMessage="1" showErrorMessage="1" promptTitle="NHS board selected" prompt="'Select Health board' will change to NHS board selected in STEP 1.  Costs are based on the NHS board selected in step 1. " sqref="F5"/>
    <dataValidation allowBlank="1" showInputMessage="1" showErrorMessage="1" promptTitle="Notes" prompt="_x000a_Click on a number below to be provided with a information relating to the corresponding part of the model." sqref="A7"/>
  </dataValidations>
  <hyperlinks>
    <hyperlink ref="A11" location="'STEP 2. CSII'!A137" display="'STEP 2. CSII'!A137"/>
    <hyperlink ref="A15" location="'STEP 2. CSII'!A138" display="'STEP 2. CSII'!A138"/>
    <hyperlink ref="A19" location="'STEP 2. CSII'!A139" display="'STEP 2. CSII'!A139"/>
    <hyperlink ref="A27" location="'STEP 2. CSII'!A140" display="'STEP 2. CSII'!A140"/>
    <hyperlink ref="A65" location="'STEP 2. CSII'!A141" display="'STEP 2. CSII'!A141"/>
    <hyperlink ref="A66" location="'STEP 2. CSII'!A142" display="'STEP 2. CSII'!A142"/>
    <hyperlink ref="A68:A71" location="'STEP 2. CSII'!A143" display="'STEP 2. CSII'!A143"/>
    <hyperlink ref="B143:H143" location="'CSII assumptions&amp;unit costs'!A1" display="Details of the staff costs are provided in the worksheet entitle 'CSII assumptions and unit costs."/>
  </hyperlinks>
  <pageMargins left="0.75" right="0.75" top="1" bottom="1" header="0.5" footer="0.5"/>
  <pageSetup paperSize="8" scale="92" fitToHeight="3" orientation="portrait" r:id="rId1"/>
  <headerFooter alignWithMargins="0"/>
  <ignoredErrors>
    <ignoredError sqref="G11:G12 G25 G27 F132 F35:F37 F45:F46 G65 F68:G71 F74:G76 G83:G84 F87:G87 F88:G90 F94:G97 F101:G104 G118 F120:G122 F125:G127 G30:G32" unlockedFormula="1"/>
  </ignoredErrors>
  <drawing r:id="rId2"/>
</worksheet>
</file>

<file path=xl/worksheets/sheet12.xml><?xml version="1.0" encoding="utf-8"?>
<worksheet xmlns="http://schemas.openxmlformats.org/spreadsheetml/2006/main" xmlns:r="http://schemas.openxmlformats.org/officeDocument/2006/relationships">
  <sheetPr codeName="Sheet14">
    <pageSetUpPr autoPageBreaks="0"/>
  </sheetPr>
  <dimension ref="A1:I72"/>
  <sheetViews>
    <sheetView showGridLines="0" showRowColHeaders="0" workbookViewId="0">
      <selection activeCell="B21" sqref="B21"/>
    </sheetView>
  </sheetViews>
  <sheetFormatPr defaultRowHeight="12.75"/>
  <cols>
    <col min="1" max="1" width="18.77734375" style="488" customWidth="1"/>
    <col min="2" max="2" width="10" style="488" bestFit="1" customWidth="1"/>
    <col min="3" max="4" width="8.88671875" style="488"/>
    <col min="5" max="5" width="10.109375" style="488" customWidth="1"/>
    <col min="6" max="7" width="8.88671875" style="488"/>
    <col min="8" max="8" width="10.44140625" style="488" customWidth="1"/>
    <col min="9" max="16384" width="8.88671875" style="488"/>
  </cols>
  <sheetData>
    <row r="1" spans="1:7" s="1170" customFormat="1" ht="41.25" customHeight="1">
      <c r="A1" s="1169" t="s">
        <v>114</v>
      </c>
    </row>
    <row r="2" spans="1:7" ht="13.5" thickBot="1"/>
    <row r="3" spans="1:7" ht="64.5" thickBot="1">
      <c r="A3" s="1030" t="s">
        <v>680</v>
      </c>
      <c r="B3" s="1031" t="s">
        <v>362</v>
      </c>
      <c r="C3" s="1032" t="s">
        <v>363</v>
      </c>
      <c r="D3" s="1033" t="s">
        <v>480</v>
      </c>
      <c r="E3" s="1033" t="s">
        <v>468</v>
      </c>
      <c r="F3" s="1033" t="s">
        <v>481</v>
      </c>
      <c r="G3" s="1033" t="s">
        <v>603</v>
      </c>
    </row>
    <row r="4" spans="1:7">
      <c r="A4" s="1034" t="str">
        <f>'STEP 1.Select NHS Board'!A11</f>
        <v>Ayrshire &amp; Arran</v>
      </c>
      <c r="B4" s="298">
        <v>9</v>
      </c>
      <c r="C4" s="1035">
        <v>4.0286481647269475E-3</v>
      </c>
      <c r="D4" s="1074">
        <v>2</v>
      </c>
      <c r="E4" s="1074">
        <v>40</v>
      </c>
      <c r="F4" s="1074">
        <v>4</v>
      </c>
      <c r="G4" s="1074">
        <f>$D$4+$F$4</f>
        <v>6</v>
      </c>
    </row>
    <row r="5" spans="1:7">
      <c r="A5" s="1034" t="str">
        <f>'STEP 1.Select NHS Board'!A12</f>
        <v>Borders</v>
      </c>
      <c r="B5" s="298">
        <v>23</v>
      </c>
      <c r="C5" s="1035">
        <v>3.8590604026845637E-2</v>
      </c>
      <c r="D5" s="1074">
        <v>0</v>
      </c>
      <c r="E5" s="1074">
        <v>7</v>
      </c>
      <c r="F5" s="1074">
        <v>1</v>
      </c>
      <c r="G5" s="1074">
        <f>$D$5+$F$5</f>
        <v>1</v>
      </c>
    </row>
    <row r="6" spans="1:7">
      <c r="A6" s="1034" t="str">
        <f>'STEP 1.Select NHS Board'!A13</f>
        <v>Dumfries &amp; Galloway</v>
      </c>
      <c r="B6" s="298">
        <v>12</v>
      </c>
      <c r="C6" s="1035">
        <v>1.3777267508610792E-2</v>
      </c>
      <c r="D6" s="1074">
        <v>1</v>
      </c>
      <c r="E6" s="1074">
        <v>14</v>
      </c>
      <c r="F6" s="1074">
        <v>1</v>
      </c>
      <c r="G6" s="1074">
        <f>$D$6+$F$6</f>
        <v>2</v>
      </c>
    </row>
    <row r="7" spans="1:7">
      <c r="A7" s="1034" t="str">
        <f>'STEP 1.Select NHS Board'!A14</f>
        <v>Fife</v>
      </c>
      <c r="B7" s="298">
        <v>83</v>
      </c>
      <c r="C7" s="1035">
        <v>4.3776371308016877E-2</v>
      </c>
      <c r="D7" s="1074">
        <v>1</v>
      </c>
      <c r="E7" s="1074">
        <v>20</v>
      </c>
      <c r="F7" s="1074">
        <v>2</v>
      </c>
      <c r="G7" s="1074">
        <f>$D$7+$F$7</f>
        <v>3</v>
      </c>
    </row>
    <row r="8" spans="1:7">
      <c r="A8" s="1034" t="str">
        <f>'STEP 1.Select NHS Board'!A15</f>
        <v>Forth Valley</v>
      </c>
      <c r="B8" s="298">
        <v>24</v>
      </c>
      <c r="C8" s="1035">
        <v>1.5727391874180863E-2</v>
      </c>
      <c r="D8" s="1074">
        <v>1</v>
      </c>
      <c r="E8" s="1074">
        <v>24</v>
      </c>
      <c r="F8" s="1074">
        <v>3</v>
      </c>
      <c r="G8" s="1074">
        <f>$D$8+$F$8</f>
        <v>4</v>
      </c>
    </row>
    <row r="9" spans="1:7">
      <c r="A9" s="1034" t="str">
        <f>'STEP 1.Select NHS Board'!A16</f>
        <v>Grampian</v>
      </c>
      <c r="B9" s="298">
        <v>59</v>
      </c>
      <c r="C9" s="1035">
        <v>1.9825268817204301E-2</v>
      </c>
      <c r="D9" s="1074">
        <v>2</v>
      </c>
      <c r="E9" s="1074">
        <v>44</v>
      </c>
      <c r="F9" s="1074">
        <v>5</v>
      </c>
      <c r="G9" s="1074">
        <f>$D$9+$F$9</f>
        <v>7</v>
      </c>
    </row>
    <row r="10" spans="1:7">
      <c r="A10" s="1034" t="str">
        <f>'STEP 1.Select NHS Board'!A17</f>
        <v>Greater Glasgow &amp; Clyde</v>
      </c>
      <c r="B10" s="298">
        <v>56</v>
      </c>
      <c r="C10" s="1035">
        <v>9.4546682424447078E-3</v>
      </c>
      <c r="D10" s="1074">
        <v>4</v>
      </c>
      <c r="E10" s="1074">
        <v>100</v>
      </c>
      <c r="F10" s="1074">
        <v>11</v>
      </c>
      <c r="G10" s="1074">
        <f>$D$10+$F$10</f>
        <v>15</v>
      </c>
    </row>
    <row r="11" spans="1:7">
      <c r="A11" s="1034" t="str">
        <f>'STEP 1.Select NHS Board'!A18</f>
        <v>Highland</v>
      </c>
      <c r="B11" s="298">
        <v>19</v>
      </c>
      <c r="C11" s="1035">
        <v>1.1255924170616114E-2</v>
      </c>
      <c r="D11" s="1074">
        <v>1</v>
      </c>
      <c r="E11" s="1074">
        <v>28</v>
      </c>
      <c r="F11" s="1074">
        <v>3</v>
      </c>
      <c r="G11" s="1074">
        <f>$D$11+$F$11</f>
        <v>4</v>
      </c>
    </row>
    <row r="12" spans="1:7">
      <c r="A12" s="1034" t="str">
        <f>'STEP 1.Select NHS Board'!A19</f>
        <v>Lanarkshire</v>
      </c>
      <c r="B12" s="298">
        <v>38</v>
      </c>
      <c r="C12" s="1035">
        <v>1.1001737116386797E-2</v>
      </c>
      <c r="D12" s="1074">
        <v>3</v>
      </c>
      <c r="E12" s="1074">
        <v>56</v>
      </c>
      <c r="F12" s="1074">
        <v>6</v>
      </c>
      <c r="G12" s="1074">
        <f>$D$12+$F$12</f>
        <v>9</v>
      </c>
    </row>
    <row r="13" spans="1:7">
      <c r="A13" s="1034" t="str">
        <f>'STEP 1.Select NHS Board'!A20</f>
        <v>Lothian</v>
      </c>
      <c r="B13" s="298">
        <v>142</v>
      </c>
      <c r="C13" s="1035">
        <v>3.5332172182134858E-2</v>
      </c>
      <c r="D13" s="1074">
        <v>3</v>
      </c>
      <c r="E13" s="1074">
        <v>49</v>
      </c>
      <c r="F13" s="1074">
        <v>5</v>
      </c>
      <c r="G13" s="1074">
        <f>$D$13+$F$13</f>
        <v>8</v>
      </c>
    </row>
    <row r="14" spans="1:7">
      <c r="A14" s="1034" t="str">
        <f>'STEP 1.Select NHS Board'!A21</f>
        <v>Orkney</v>
      </c>
      <c r="B14" s="298">
        <v>3</v>
      </c>
      <c r="C14" s="1035">
        <v>2.5423728813559324E-2</v>
      </c>
      <c r="D14" s="1074">
        <v>0</v>
      </c>
      <c r="E14" s="1074">
        <v>2</v>
      </c>
      <c r="F14" s="1074">
        <v>0</v>
      </c>
      <c r="G14" s="1074">
        <f>$D$14+$F$14</f>
        <v>0</v>
      </c>
    </row>
    <row r="15" spans="1:7">
      <c r="A15" s="1034" t="str">
        <f>'STEP 1.Select NHS Board'!A22</f>
        <v>Shetland</v>
      </c>
      <c r="B15" s="298">
        <v>2</v>
      </c>
      <c r="C15" s="1035">
        <v>1.7543859649122806E-2</v>
      </c>
      <c r="D15" s="1074">
        <v>0</v>
      </c>
      <c r="E15" s="1074">
        <v>2</v>
      </c>
      <c r="F15" s="1074">
        <v>0</v>
      </c>
      <c r="G15" s="1074">
        <f>$D$15+$F$15</f>
        <v>0</v>
      </c>
    </row>
    <row r="16" spans="1:7">
      <c r="A16" s="1034" t="str">
        <f>'STEP 1.Select NHS Board'!A23</f>
        <v>Tayside</v>
      </c>
      <c r="B16" s="298">
        <v>82</v>
      </c>
      <c r="C16" s="1035">
        <v>4.6301524562394128E-2</v>
      </c>
      <c r="D16" s="1074">
        <v>1</v>
      </c>
      <c r="E16" s="1074">
        <v>18</v>
      </c>
      <c r="F16" s="1074">
        <v>2</v>
      </c>
      <c r="G16" s="1074">
        <f>$D$16+$F$16</f>
        <v>3</v>
      </c>
    </row>
    <row r="17" spans="1:9" ht="13.5" thickBot="1">
      <c r="A17" s="1034" t="str">
        <f>'STEP 1.Select NHS Board'!A24</f>
        <v>Western Isles</v>
      </c>
      <c r="B17" s="298">
        <v>1</v>
      </c>
      <c r="C17" s="1035">
        <v>5.5248618784530384E-3</v>
      </c>
      <c r="D17" s="1074">
        <v>0</v>
      </c>
      <c r="E17" s="1074">
        <v>3</v>
      </c>
      <c r="F17" s="1074">
        <v>1</v>
      </c>
      <c r="G17" s="1074">
        <f>$D$17+$F$17</f>
        <v>1</v>
      </c>
    </row>
    <row r="18" spans="1:9" ht="13.5" thickBot="1">
      <c r="A18" s="1036" t="s">
        <v>688</v>
      </c>
      <c r="B18" s="1037">
        <f>SUM(B4:B17)</f>
        <v>553</v>
      </c>
      <c r="C18" s="1038"/>
      <c r="D18" s="1039">
        <f>SUM(D4:D17)</f>
        <v>19</v>
      </c>
      <c r="E18" s="1039">
        <f>SUM(E4:E17)</f>
        <v>407</v>
      </c>
      <c r="F18" s="1039">
        <f>SUM(F4:F17)</f>
        <v>44</v>
      </c>
      <c r="G18" s="1039">
        <f>ROUNDUP(SUM(G4:G17),0)</f>
        <v>63</v>
      </c>
    </row>
    <row r="20" spans="1:9" ht="13.5" thickBot="1"/>
    <row r="21" spans="1:9" ht="13.5" thickTop="1">
      <c r="A21" s="1040" t="s">
        <v>367</v>
      </c>
      <c r="B21" s="1077">
        <v>1500</v>
      </c>
    </row>
    <row r="22" spans="1:9">
      <c r="A22" s="445" t="s">
        <v>370</v>
      </c>
      <c r="B22" s="1078">
        <v>312</v>
      </c>
    </row>
    <row r="23" spans="1:9">
      <c r="A23" s="264" t="s">
        <v>372</v>
      </c>
      <c r="B23" s="1079">
        <v>2050</v>
      </c>
      <c r="C23" s="1041"/>
      <c r="D23" s="1042"/>
      <c r="E23" s="1043"/>
      <c r="F23" s="263"/>
    </row>
    <row r="24" spans="1:9">
      <c r="A24" s="264"/>
      <c r="B24" s="1044"/>
      <c r="C24" s="593"/>
      <c r="D24" s="1045"/>
      <c r="E24" s="1046"/>
      <c r="F24" s="593"/>
    </row>
    <row r="25" spans="1:9">
      <c r="A25" s="439" t="s">
        <v>378</v>
      </c>
      <c r="B25" s="1047"/>
    </row>
    <row r="26" spans="1:9">
      <c r="A26" s="445" t="s">
        <v>367</v>
      </c>
      <c r="B26" s="1075">
        <v>400</v>
      </c>
    </row>
    <row r="27" spans="1:9" ht="13.5" thickBot="1">
      <c r="A27" s="1048" t="s">
        <v>370</v>
      </c>
      <c r="B27" s="1076">
        <v>466</v>
      </c>
    </row>
    <row r="28" spans="1:9" ht="14.25" thickTop="1" thickBot="1"/>
    <row r="29" spans="1:9" ht="39.75" thickTop="1" thickBot="1">
      <c r="A29" s="1049" t="s">
        <v>396</v>
      </c>
      <c r="B29" s="1050" t="s">
        <v>397</v>
      </c>
      <c r="C29" s="1050" t="s">
        <v>398</v>
      </c>
      <c r="D29" s="1059" t="s">
        <v>338</v>
      </c>
      <c r="E29" s="1059" t="s">
        <v>399</v>
      </c>
      <c r="F29" s="1059" t="s">
        <v>661</v>
      </c>
      <c r="G29" s="1059" t="s">
        <v>411</v>
      </c>
      <c r="H29" s="1060" t="s">
        <v>341</v>
      </c>
      <c r="I29" s="438"/>
    </row>
    <row r="30" spans="1:9">
      <c r="A30" s="1051" t="s">
        <v>400</v>
      </c>
      <c r="B30" s="1052" t="s">
        <v>401</v>
      </c>
      <c r="C30" s="1080">
        <v>6</v>
      </c>
      <c r="D30" s="1081">
        <v>120000</v>
      </c>
      <c r="E30" s="1081">
        <f>D30*0.23</f>
        <v>27600</v>
      </c>
      <c r="F30" s="1081">
        <f>+E30+D30</f>
        <v>147600</v>
      </c>
      <c r="G30" s="1082">
        <f>1793</f>
        <v>1793</v>
      </c>
      <c r="H30" s="1083">
        <f>+F30/G30</f>
        <v>82.320133853876186</v>
      </c>
      <c r="I30" s="1053"/>
    </row>
    <row r="31" spans="1:9">
      <c r="A31" s="264" t="s">
        <v>394</v>
      </c>
      <c r="B31" s="857" t="s">
        <v>402</v>
      </c>
      <c r="C31" s="457" t="s">
        <v>403</v>
      </c>
      <c r="D31" s="304">
        <v>34410</v>
      </c>
      <c r="E31" s="304">
        <f>D31*0.23</f>
        <v>7914.3</v>
      </c>
      <c r="F31" s="304">
        <f>+E31+D31</f>
        <v>42324.3</v>
      </c>
      <c r="G31" s="1084">
        <f>41.3*37.5*0.8</f>
        <v>1239</v>
      </c>
      <c r="H31" s="922">
        <f>+F31/G31</f>
        <v>34.160048426150126</v>
      </c>
      <c r="I31" s="1053"/>
    </row>
    <row r="32" spans="1:9">
      <c r="A32" s="264" t="s">
        <v>404</v>
      </c>
      <c r="B32" s="857" t="s">
        <v>402</v>
      </c>
      <c r="C32" s="457" t="s">
        <v>405</v>
      </c>
      <c r="D32" s="304">
        <v>28816</v>
      </c>
      <c r="E32" s="304">
        <f>D32*0.23</f>
        <v>6627.68</v>
      </c>
      <c r="F32" s="304">
        <f>+E32+D32</f>
        <v>35443.68</v>
      </c>
      <c r="G32" s="1084">
        <f>41.3*37.5*0.8</f>
        <v>1239</v>
      </c>
      <c r="H32" s="922">
        <f>+F32/G32</f>
        <v>28.606682808716709</v>
      </c>
      <c r="I32" s="1053"/>
    </row>
    <row r="33" spans="1:9" ht="13.5" thickBot="1">
      <c r="A33" s="1054" t="s">
        <v>441</v>
      </c>
      <c r="B33" s="1055" t="s">
        <v>440</v>
      </c>
      <c r="C33" s="1003"/>
      <c r="D33" s="1085">
        <v>16700</v>
      </c>
      <c r="E33" s="1086">
        <f>D33*0.23</f>
        <v>3841</v>
      </c>
      <c r="F33" s="1086">
        <f>+E33+D33</f>
        <v>20541</v>
      </c>
      <c r="G33" s="1087">
        <f>42*37.5</f>
        <v>1575</v>
      </c>
      <c r="H33" s="924">
        <f>+F33/G33</f>
        <v>13.041904761904762</v>
      </c>
      <c r="I33" s="438"/>
    </row>
    <row r="34" spans="1:9" ht="13.5" thickTop="1">
      <c r="A34" s="438"/>
      <c r="B34" s="438"/>
      <c r="C34" s="438"/>
      <c r="D34" s="438"/>
      <c r="E34" s="438"/>
      <c r="F34" s="438"/>
      <c r="G34" s="1056"/>
      <c r="H34" s="438"/>
      <c r="I34" s="438"/>
    </row>
    <row r="35" spans="1:9">
      <c r="A35" s="438" t="s">
        <v>406</v>
      </c>
      <c r="B35" s="438"/>
      <c r="C35" s="438"/>
      <c r="D35" s="438"/>
      <c r="E35" s="438"/>
      <c r="F35" s="438"/>
      <c r="G35" s="438"/>
      <c r="H35" s="438"/>
      <c r="I35" s="438"/>
    </row>
    <row r="36" spans="1:9">
      <c r="A36" s="1057" t="s">
        <v>442</v>
      </c>
      <c r="B36" s="438"/>
      <c r="C36" s="438"/>
      <c r="D36" s="438"/>
      <c r="E36" s="438"/>
      <c r="F36" s="438"/>
      <c r="G36" s="438"/>
      <c r="H36" s="438"/>
      <c r="I36" s="438"/>
    </row>
    <row r="37" spans="1:9">
      <c r="A37" s="468" t="s">
        <v>388</v>
      </c>
      <c r="B37" s="438"/>
      <c r="C37" s="438"/>
      <c r="D37" s="438"/>
      <c r="E37" s="438"/>
      <c r="F37" s="438"/>
      <c r="G37" s="438"/>
      <c r="H37" s="438"/>
      <c r="I37" s="438"/>
    </row>
    <row r="38" spans="1:9">
      <c r="A38" s="438" t="s">
        <v>407</v>
      </c>
      <c r="B38" s="438"/>
      <c r="C38" s="438"/>
      <c r="D38" s="438"/>
      <c r="E38" s="438"/>
      <c r="F38" s="438"/>
      <c r="G38" s="438"/>
      <c r="H38" s="1091">
        <v>783.23916493099978</v>
      </c>
      <c r="I38" s="438" t="s">
        <v>408</v>
      </c>
    </row>
    <row r="39" spans="1:9">
      <c r="A39" s="438" t="s">
        <v>409</v>
      </c>
      <c r="B39" s="438"/>
      <c r="C39" s="438"/>
      <c r="D39" s="438"/>
      <c r="E39" s="438"/>
      <c r="F39" s="438"/>
      <c r="G39" s="438"/>
      <c r="H39" s="1091">
        <f>+H38/4</f>
        <v>195.80979123274994</v>
      </c>
      <c r="I39" s="438" t="s">
        <v>410</v>
      </c>
    </row>
    <row r="40" spans="1:9">
      <c r="A40" s="438"/>
      <c r="B40" s="438"/>
      <c r="C40" s="438"/>
      <c r="D40" s="438"/>
      <c r="E40" s="438"/>
      <c r="F40" s="438"/>
      <c r="G40" s="438"/>
      <c r="H40" s="438"/>
      <c r="I40" s="438"/>
    </row>
    <row r="41" spans="1:9" ht="13.5" thickBot="1">
      <c r="B41" s="438"/>
      <c r="C41" s="438"/>
      <c r="D41" s="438"/>
      <c r="E41" s="438"/>
      <c r="F41" s="438"/>
      <c r="G41" s="438"/>
      <c r="H41" s="438"/>
      <c r="I41" s="438"/>
    </row>
    <row r="42" spans="1:9" ht="39.75" customHeight="1" thickTop="1" thickBot="1">
      <c r="A42" s="1094" t="s">
        <v>412</v>
      </c>
      <c r="B42" s="1058" t="s">
        <v>391</v>
      </c>
      <c r="C42" s="1059" t="s">
        <v>392</v>
      </c>
      <c r="D42" s="1059" t="s">
        <v>393</v>
      </c>
      <c r="E42" s="1090"/>
      <c r="F42" s="438"/>
    </row>
    <row r="43" spans="1:9">
      <c r="A43" s="1092" t="s">
        <v>413</v>
      </c>
      <c r="B43" s="1095">
        <v>1</v>
      </c>
      <c r="C43" s="1096">
        <f>B43*H30</f>
        <v>82.320133853876186</v>
      </c>
      <c r="D43" s="1082">
        <f>B43*$H$39</f>
        <v>195.80979123274994</v>
      </c>
      <c r="E43" s="1089"/>
      <c r="F43" s="1053"/>
    </row>
    <row r="44" spans="1:9">
      <c r="A44" s="1092" t="s">
        <v>394</v>
      </c>
      <c r="B44" s="1097">
        <f>2</f>
        <v>2</v>
      </c>
      <c r="C44" s="1088">
        <f>B44*$H$31</f>
        <v>68.320096852300253</v>
      </c>
      <c r="D44" s="1084">
        <f>B44*$H$39</f>
        <v>391.61958246549989</v>
      </c>
      <c r="E44" s="1089"/>
      <c r="F44" s="1053"/>
    </row>
    <row r="45" spans="1:9" ht="13.5" thickBot="1">
      <c r="A45" s="1093" t="s">
        <v>395</v>
      </c>
      <c r="B45" s="1098">
        <v>1</v>
      </c>
      <c r="C45" s="1099">
        <f>+B45*H32</f>
        <v>28.606682808716709</v>
      </c>
      <c r="D45" s="1100">
        <f>B45*$H$39</f>
        <v>195.80979123274994</v>
      </c>
      <c r="E45" s="1089"/>
      <c r="F45" s="1053"/>
    </row>
    <row r="46" spans="1:9">
      <c r="A46" s="1062"/>
      <c r="B46" s="438"/>
      <c r="C46" s="438"/>
      <c r="D46" s="438"/>
      <c r="E46" s="438"/>
      <c r="F46" s="438"/>
      <c r="G46" s="438"/>
      <c r="H46" s="1063" t="s">
        <v>786</v>
      </c>
      <c r="I46" s="438"/>
    </row>
    <row r="48" spans="1:9" ht="18.75" thickBot="1">
      <c r="A48" s="997" t="s">
        <v>426</v>
      </c>
    </row>
    <row r="49" spans="1:5" s="468" customFormat="1" ht="39.75" thickTop="1" thickBot="1">
      <c r="A49" s="1064"/>
      <c r="B49" s="1065" t="s">
        <v>419</v>
      </c>
      <c r="C49" s="1066" t="s">
        <v>467</v>
      </c>
      <c r="D49" s="1050" t="s">
        <v>413</v>
      </c>
      <c r="E49" s="1101"/>
    </row>
    <row r="50" spans="1:5">
      <c r="A50" s="1061" t="s">
        <v>420</v>
      </c>
      <c r="B50" s="303">
        <v>2</v>
      </c>
      <c r="C50" s="303"/>
      <c r="D50" s="1234"/>
      <c r="E50" s="1102"/>
    </row>
    <row r="51" spans="1:5">
      <c r="A51" s="1061" t="s">
        <v>421</v>
      </c>
      <c r="B51" s="303">
        <v>0.5</v>
      </c>
      <c r="C51" s="303"/>
      <c r="D51" s="1234"/>
      <c r="E51" s="1102"/>
    </row>
    <row r="52" spans="1:5">
      <c r="A52" s="1061" t="s">
        <v>422</v>
      </c>
      <c r="B52" s="303">
        <v>0.5</v>
      </c>
      <c r="C52" s="303"/>
      <c r="D52" s="1234"/>
      <c r="E52" s="1102"/>
    </row>
    <row r="53" spans="1:5">
      <c r="A53" s="1061" t="s">
        <v>423</v>
      </c>
      <c r="B53" s="303">
        <v>15</v>
      </c>
      <c r="C53" s="303"/>
      <c r="D53" s="1234"/>
      <c r="E53" s="1102"/>
    </row>
    <row r="54" spans="1:5" ht="13.5" thickBot="1">
      <c r="A54" s="1061" t="s">
        <v>424</v>
      </c>
      <c r="B54" s="303">
        <v>1</v>
      </c>
      <c r="C54" s="303"/>
      <c r="D54" s="1234"/>
      <c r="E54" s="1102"/>
    </row>
    <row r="55" spans="1:5" ht="13.5" thickBot="1">
      <c r="A55" s="1067" t="s">
        <v>661</v>
      </c>
      <c r="B55" s="1235">
        <f>SUM(B50:B54)</f>
        <v>19</v>
      </c>
      <c r="C55" s="1104">
        <v>0.5</v>
      </c>
      <c r="D55" s="1104">
        <v>0.5</v>
      </c>
      <c r="E55" s="1102"/>
    </row>
    <row r="56" spans="1:5" ht="13.5" thickBot="1">
      <c r="A56" s="1068" t="s">
        <v>105</v>
      </c>
      <c r="B56" s="1236">
        <f>$H$31</f>
        <v>34.160048426150126</v>
      </c>
      <c r="C56" s="1236">
        <f>$H$32</f>
        <v>28.606682808716709</v>
      </c>
      <c r="D56" s="1236">
        <f>$H$30</f>
        <v>82.320133853876186</v>
      </c>
      <c r="E56" s="1103"/>
    </row>
    <row r="57" spans="1:5" ht="13.5" thickTop="1"/>
    <row r="58" spans="1:5" ht="18">
      <c r="A58" s="997" t="s">
        <v>455</v>
      </c>
    </row>
    <row r="59" spans="1:5">
      <c r="A59" s="488" t="s">
        <v>456</v>
      </c>
    </row>
    <row r="60" spans="1:5" ht="18.75" thickBot="1">
      <c r="A60" s="997"/>
    </row>
    <row r="61" spans="1:5" ht="39.75" thickTop="1" thickBot="1">
      <c r="A61" s="1069" t="s">
        <v>457</v>
      </c>
      <c r="B61" s="1107" t="s">
        <v>394</v>
      </c>
      <c r="C61" s="1109" t="s">
        <v>467</v>
      </c>
      <c r="D61" s="1070" t="s">
        <v>413</v>
      </c>
      <c r="E61" s="1105"/>
    </row>
    <row r="62" spans="1:5" ht="13.5" thickTop="1">
      <c r="A62" s="1071" t="s">
        <v>458</v>
      </c>
      <c r="B62" s="310">
        <v>4</v>
      </c>
      <c r="C62" s="1237"/>
      <c r="D62" s="310"/>
      <c r="E62" s="446"/>
    </row>
    <row r="63" spans="1:5">
      <c r="A63" s="1071" t="s">
        <v>459</v>
      </c>
      <c r="B63" s="310">
        <v>0.5</v>
      </c>
      <c r="C63" s="310"/>
      <c r="D63" s="310"/>
      <c r="E63" s="446"/>
    </row>
    <row r="64" spans="1:5">
      <c r="A64" s="1071" t="s">
        <v>460</v>
      </c>
      <c r="B64" s="310">
        <v>2</v>
      </c>
      <c r="C64" s="310"/>
      <c r="D64" s="310"/>
      <c r="E64" s="446"/>
    </row>
    <row r="65" spans="1:6">
      <c r="A65" s="1071" t="s">
        <v>461</v>
      </c>
      <c r="B65" s="310">
        <v>0</v>
      </c>
      <c r="C65" s="310"/>
      <c r="D65" s="310"/>
      <c r="E65" s="446"/>
    </row>
    <row r="66" spans="1:6">
      <c r="A66" s="1071" t="s">
        <v>462</v>
      </c>
      <c r="B66" s="310">
        <v>2</v>
      </c>
      <c r="C66" s="310"/>
      <c r="D66" s="310"/>
      <c r="E66" s="446"/>
    </row>
    <row r="67" spans="1:6">
      <c r="A67" s="1071" t="s">
        <v>463</v>
      </c>
      <c r="B67" s="310">
        <v>2</v>
      </c>
      <c r="C67" s="310"/>
      <c r="D67" s="310"/>
      <c r="E67" s="446"/>
    </row>
    <row r="68" spans="1:6">
      <c r="A68" s="1071" t="s">
        <v>464</v>
      </c>
      <c r="B68" s="310">
        <v>2</v>
      </c>
      <c r="C68" s="310"/>
      <c r="D68" s="310"/>
      <c r="E68" s="446"/>
    </row>
    <row r="69" spans="1:6" ht="13.5" thickBot="1">
      <c r="A69" s="1071" t="s">
        <v>465</v>
      </c>
      <c r="B69" s="310">
        <v>0.5</v>
      </c>
      <c r="C69" s="310">
        <v>0.5</v>
      </c>
      <c r="D69" s="310">
        <v>0.5</v>
      </c>
      <c r="E69" s="446"/>
    </row>
    <row r="70" spans="1:6" ht="16.5" thickBot="1">
      <c r="A70" s="1108" t="s">
        <v>661</v>
      </c>
      <c r="B70" s="1238">
        <f>SUM($B$62:$B$69)</f>
        <v>13</v>
      </c>
      <c r="C70" s="1238">
        <f>SUM($C$62:$C$69)</f>
        <v>0.5</v>
      </c>
      <c r="D70" s="1239">
        <f>SUM($D$62:$D$69)</f>
        <v>0.5</v>
      </c>
      <c r="E70" s="1106"/>
    </row>
    <row r="71" spans="1:6" ht="15.75" thickBot="1">
      <c r="A71" s="1167" t="s">
        <v>466</v>
      </c>
      <c r="B71" s="1240">
        <f>$B$56</f>
        <v>34.160048426150126</v>
      </c>
      <c r="C71" s="1241">
        <f>$C$56</f>
        <v>28.606682808716709</v>
      </c>
      <c r="D71" s="1242">
        <f>$D$56</f>
        <v>82.320133853876186</v>
      </c>
      <c r="E71" s="1073"/>
      <c r="F71" s="1073"/>
    </row>
    <row r="72" spans="1:6" ht="13.5" thickTop="1">
      <c r="A72" s="1437"/>
      <c r="B72" s="1437"/>
      <c r="C72" s="1072"/>
      <c r="D72" s="1072"/>
      <c r="E72" s="1072"/>
      <c r="F72" s="1072"/>
    </row>
  </sheetData>
  <sheetProtection password="C7D8" sheet="1" objects="1" scenarios="1"/>
  <mergeCells count="1">
    <mergeCell ref="A72:B72"/>
  </mergeCells>
  <phoneticPr fontId="4" type="noConversion"/>
  <pageMargins left="0.75" right="0.75" top="1" bottom="1" header="0.5" footer="0.5"/>
  <pageSetup paperSize="9" orientation="portrait" r:id="rId1"/>
  <headerFooter alignWithMargins="0"/>
  <ignoredErrors>
    <ignoredError sqref="G4:G17 E30:H33 H39 B44 C43:D45 C70:D70 B71:D71" unlockedFormula="1"/>
  </ignoredErrors>
</worksheet>
</file>

<file path=xl/worksheets/sheet13.xml><?xml version="1.0" encoding="utf-8"?>
<worksheet xmlns="http://schemas.openxmlformats.org/spreadsheetml/2006/main" xmlns:r="http://schemas.openxmlformats.org/officeDocument/2006/relationships">
  <sheetPr codeName="Sheet16" enableFormatConditionsCalculation="0">
    <tabColor indexed="34"/>
    <pageSetUpPr autoPageBreaks="0" fitToPage="1"/>
  </sheetPr>
  <dimension ref="A1:I161"/>
  <sheetViews>
    <sheetView showGridLines="0" showRowColHeaders="0" zoomScaleNormal="130" workbookViewId="0">
      <pane ySplit="8" topLeftCell="A9" activePane="bottomLeft" state="frozen"/>
      <selection pane="bottomLeft" activeCell="B79" sqref="B79"/>
    </sheetView>
  </sheetViews>
  <sheetFormatPr defaultRowHeight="12.75"/>
  <cols>
    <col min="1" max="1" width="5" style="1283" customWidth="1"/>
    <col min="2" max="2" width="44.77734375" style="566" customWidth="1"/>
    <col min="3" max="3" width="8.6640625" style="566" customWidth="1"/>
    <col min="4" max="4" width="9.44140625" style="567" customWidth="1"/>
    <col min="5" max="6" width="10.21875" style="568" customWidth="1"/>
    <col min="7" max="7" width="11.44140625" style="567" customWidth="1"/>
    <col min="8" max="8" width="8.5546875" style="567" customWidth="1"/>
    <col min="9" max="16384" width="8.88671875" style="488"/>
  </cols>
  <sheetData>
    <row r="1" spans="1:8" s="332" customFormat="1" ht="80.099999999999994" customHeight="1">
      <c r="A1" s="1307" t="s">
        <v>798</v>
      </c>
      <c r="B1" s="1307"/>
      <c r="C1" s="1307"/>
      <c r="D1" s="1307"/>
      <c r="E1" s="1307"/>
      <c r="F1" s="1307"/>
      <c r="G1" s="1307"/>
      <c r="H1" s="331"/>
    </row>
    <row r="2" spans="1:8">
      <c r="A2" s="1439" t="s">
        <v>679</v>
      </c>
      <c r="B2" s="1439"/>
      <c r="C2" s="337"/>
      <c r="D2" s="493"/>
      <c r="E2" s="494"/>
      <c r="F2" s="494"/>
      <c r="G2" s="493"/>
      <c r="H2" s="493"/>
    </row>
    <row r="3" spans="1:8">
      <c r="A3" s="370"/>
      <c r="B3" s="337"/>
      <c r="C3" s="337"/>
      <c r="D3" s="493"/>
      <c r="E3" s="494"/>
      <c r="F3" s="494"/>
      <c r="G3" s="493"/>
      <c r="H3" s="493"/>
    </row>
    <row r="4" spans="1:8">
      <c r="A4" s="1281"/>
      <c r="B4" s="495"/>
      <c r="C4" s="495"/>
      <c r="D4" s="338"/>
      <c r="E4" s="340"/>
      <c r="F4" s="340"/>
      <c r="G4" s="338"/>
      <c r="H4" s="338"/>
    </row>
    <row r="5" spans="1:8" ht="26.25" thickBot="1">
      <c r="A5" s="1281"/>
      <c r="B5" s="496" t="s">
        <v>681</v>
      </c>
      <c r="C5" s="496"/>
      <c r="D5" s="493"/>
      <c r="E5" s="494"/>
      <c r="F5" s="494"/>
      <c r="G5" s="493"/>
      <c r="H5" s="493"/>
    </row>
    <row r="6" spans="1:8" ht="28.5" customHeight="1">
      <c r="A6" s="1281"/>
      <c r="B6" s="496" t="s">
        <v>680</v>
      </c>
      <c r="C6" s="1440" t="s">
        <v>688</v>
      </c>
      <c r="D6" s="1441"/>
      <c r="E6" s="1442"/>
      <c r="F6" s="497" t="str">
        <f>'STEP 1.Select NHS Board'!B7</f>
        <v>Select NHS board</v>
      </c>
      <c r="G6" s="498"/>
      <c r="H6" s="499"/>
    </row>
    <row r="7" spans="1:8" ht="13.5" thickBot="1">
      <c r="A7" s="1281"/>
      <c r="B7" s="500"/>
      <c r="C7" s="1443"/>
      <c r="D7" s="1444"/>
      <c r="E7" s="1445"/>
      <c r="F7" s="501"/>
      <c r="G7" s="502"/>
      <c r="H7" s="503"/>
    </row>
    <row r="8" spans="1:8" ht="27" customHeight="1" thickBot="1">
      <c r="A8" s="1251" t="s">
        <v>682</v>
      </c>
      <c r="B8" s="504"/>
      <c r="C8" s="505" t="s">
        <v>815</v>
      </c>
      <c r="D8" s="506" t="s">
        <v>816</v>
      </c>
      <c r="E8" s="507" t="s">
        <v>817</v>
      </c>
      <c r="F8" s="505" t="s">
        <v>815</v>
      </c>
      <c r="G8" s="506" t="s">
        <v>816</v>
      </c>
      <c r="H8" s="507" t="s">
        <v>817</v>
      </c>
    </row>
    <row r="9" spans="1:8" s="493" customFormat="1" ht="30.75" customHeight="1">
      <c r="A9" s="1282"/>
      <c r="B9" s="508"/>
      <c r="C9" s="509"/>
      <c r="D9" s="431"/>
      <c r="E9" s="261"/>
      <c r="F9" s="1446" t="s">
        <v>684</v>
      </c>
      <c r="G9" s="1447"/>
      <c r="H9" s="1448"/>
    </row>
    <row r="10" spans="1:8">
      <c r="A10" s="1282"/>
      <c r="B10" s="510" t="s">
        <v>732</v>
      </c>
      <c r="C10" s="511"/>
      <c r="D10" s="482"/>
      <c r="E10" s="512"/>
      <c r="F10" s="513"/>
      <c r="G10" s="482"/>
      <c r="H10" s="514"/>
    </row>
    <row r="11" spans="1:8">
      <c r="A11" s="1279">
        <v>1</v>
      </c>
      <c r="B11" s="515" t="s">
        <v>722</v>
      </c>
      <c r="C11" s="452"/>
      <c r="D11" s="260">
        <f>'STEP 1.Select NHS Board'!$O$25</f>
        <v>60366</v>
      </c>
      <c r="E11" s="261"/>
      <c r="F11" s="259"/>
      <c r="G11" s="298">
        <f>+IF($F$6="Select NHS board",0,VLOOKUP($F$6,'STEP 1.Select NHS Board'!$A$8:$O$25,9,0))</f>
        <v>0</v>
      </c>
      <c r="H11" s="516"/>
    </row>
    <row r="12" spans="1:8">
      <c r="A12" s="1282"/>
      <c r="B12" s="517" t="s">
        <v>726</v>
      </c>
      <c r="C12" s="518"/>
      <c r="D12" s="260"/>
      <c r="E12" s="261"/>
      <c r="F12" s="259"/>
      <c r="G12" s="260"/>
      <c r="H12" s="516"/>
    </row>
    <row r="13" spans="1:8">
      <c r="A13" s="1438">
        <v>2</v>
      </c>
      <c r="B13" s="515" t="s">
        <v>727</v>
      </c>
      <c r="C13" s="452"/>
      <c r="D13" s="444">
        <f>'GDM Unit costs'!$B$29</f>
        <v>0.19</v>
      </c>
      <c r="E13" s="261"/>
      <c r="F13" s="259"/>
      <c r="G13" s="490">
        <f>'GDM Unit costs'!$B$29</f>
        <v>0.19</v>
      </c>
      <c r="H13" s="516"/>
    </row>
    <row r="14" spans="1:8">
      <c r="A14" s="1438"/>
      <c r="B14" s="515" t="s">
        <v>728</v>
      </c>
      <c r="C14" s="452"/>
      <c r="D14" s="444">
        <f>'GDM Unit costs'!$B$30</f>
        <v>0.01</v>
      </c>
      <c r="E14" s="261"/>
      <c r="F14" s="259"/>
      <c r="G14" s="490">
        <f>'GDM Unit costs'!$B$30</f>
        <v>0.01</v>
      </c>
      <c r="H14" s="516"/>
    </row>
    <row r="15" spans="1:8">
      <c r="A15" s="1438">
        <v>3</v>
      </c>
      <c r="B15" s="515" t="s">
        <v>729</v>
      </c>
      <c r="C15" s="452"/>
      <c r="D15" s="444">
        <f>'GDM Unit costs'!$B$31</f>
        <v>0.05</v>
      </c>
      <c r="E15" s="261"/>
      <c r="F15" s="259"/>
      <c r="G15" s="490">
        <f>'GDM Unit costs'!$B$31</f>
        <v>0.05</v>
      </c>
      <c r="H15" s="516"/>
    </row>
    <row r="16" spans="1:8">
      <c r="A16" s="1438"/>
      <c r="B16" s="515" t="s">
        <v>730</v>
      </c>
      <c r="C16" s="452"/>
      <c r="D16" s="444">
        <f>'GDM Unit costs'!$B$32</f>
        <v>0.09</v>
      </c>
      <c r="E16" s="261"/>
      <c r="F16" s="259"/>
      <c r="G16" s="490">
        <f>'GDM Unit costs'!$B$32</f>
        <v>0.09</v>
      </c>
      <c r="H16" s="516"/>
    </row>
    <row r="17" spans="1:8">
      <c r="A17" s="1282"/>
      <c r="B17" s="517" t="s">
        <v>731</v>
      </c>
      <c r="C17" s="518"/>
      <c r="D17" s="448">
        <f>SUM($D$13:$D$16)</f>
        <v>0.33999999999999997</v>
      </c>
      <c r="E17" s="261"/>
      <c r="F17" s="259"/>
      <c r="G17" s="569">
        <f>SUM($G$13:$G$16)</f>
        <v>0.33999999999999997</v>
      </c>
      <c r="H17" s="516"/>
    </row>
    <row r="18" spans="1:8">
      <c r="A18" s="1282"/>
      <c r="B18" s="515" t="s">
        <v>723</v>
      </c>
      <c r="C18" s="452"/>
      <c r="D18" s="228">
        <v>21000</v>
      </c>
      <c r="E18" s="261"/>
      <c r="F18" s="259"/>
      <c r="G18" s="300">
        <f>$G$11*$G$17</f>
        <v>0</v>
      </c>
      <c r="H18" s="516"/>
    </row>
    <row r="19" spans="1:8" ht="6" customHeight="1">
      <c r="A19" s="1282"/>
      <c r="B19" s="515"/>
      <c r="C19" s="452"/>
      <c r="D19" s="260"/>
      <c r="E19" s="261"/>
      <c r="F19" s="259"/>
      <c r="G19" s="260"/>
      <c r="H19" s="516"/>
    </row>
    <row r="20" spans="1:8">
      <c r="A20" s="1282"/>
      <c r="B20" s="510" t="s">
        <v>725</v>
      </c>
      <c r="C20" s="511"/>
      <c r="D20" s="482"/>
      <c r="E20" s="512"/>
      <c r="F20" s="513"/>
      <c r="G20" s="482"/>
      <c r="H20" s="514"/>
    </row>
    <row r="21" spans="1:8">
      <c r="A21" s="1282"/>
      <c r="B21" s="519"/>
      <c r="C21" s="520"/>
      <c r="D21" s="521"/>
      <c r="E21" s="522"/>
      <c r="F21" s="523"/>
      <c r="G21" s="521"/>
      <c r="H21" s="524"/>
    </row>
    <row r="22" spans="1:8" ht="25.5">
      <c r="A22" s="1282"/>
      <c r="B22" s="515" t="s">
        <v>776</v>
      </c>
      <c r="C22" s="452"/>
      <c r="D22" s="444">
        <f>'GDM Unit costs'!$B$35</f>
        <v>0.4</v>
      </c>
      <c r="E22" s="261"/>
      <c r="F22" s="259"/>
      <c r="G22" s="490">
        <f>'GDM Unit costs'!$B$35</f>
        <v>0.4</v>
      </c>
      <c r="H22" s="516"/>
    </row>
    <row r="23" spans="1:8" ht="38.25">
      <c r="A23" s="1282"/>
      <c r="B23" s="515" t="s">
        <v>777</v>
      </c>
      <c r="C23" s="452"/>
      <c r="D23" s="444">
        <f>'GDM Unit costs'!$B$36</f>
        <v>0.32</v>
      </c>
      <c r="E23" s="261"/>
      <c r="F23" s="259"/>
      <c r="G23" s="490">
        <f>'GDM Unit costs'!$B$36</f>
        <v>0.32</v>
      </c>
      <c r="H23" s="516"/>
    </row>
    <row r="24" spans="1:8" ht="38.25">
      <c r="A24" s="1282"/>
      <c r="B24" s="515" t="s">
        <v>778</v>
      </c>
      <c r="C24" s="452"/>
      <c r="D24" s="444">
        <f>'GDM Unit costs'!$B$37</f>
        <v>0.17</v>
      </c>
      <c r="E24" s="261"/>
      <c r="F24" s="259"/>
      <c r="G24" s="490">
        <f>'GDM Unit costs'!$B$37</f>
        <v>0.17</v>
      </c>
      <c r="H24" s="516"/>
    </row>
    <row r="25" spans="1:8">
      <c r="A25" s="1282"/>
      <c r="B25" s="515" t="s">
        <v>779</v>
      </c>
      <c r="C25" s="452"/>
      <c r="D25" s="444">
        <f>'GDM Unit costs'!$B$38</f>
        <v>0.11</v>
      </c>
      <c r="E25" s="261"/>
      <c r="F25" s="259"/>
      <c r="G25" s="490">
        <f>'GDM Unit costs'!$B$38</f>
        <v>0.11</v>
      </c>
      <c r="H25" s="516"/>
    </row>
    <row r="26" spans="1:8">
      <c r="A26" s="1282"/>
      <c r="B26" s="525"/>
      <c r="C26" s="526"/>
      <c r="D26" s="527"/>
      <c r="E26" s="528"/>
      <c r="F26" s="529"/>
      <c r="G26" s="527"/>
      <c r="H26" s="530"/>
    </row>
    <row r="27" spans="1:8" ht="19.5" customHeight="1">
      <c r="A27" s="1279">
        <v>4</v>
      </c>
      <c r="B27" s="519" t="s">
        <v>780</v>
      </c>
      <c r="C27" s="531">
        <f>'GDM Unit costs'!$B$8</f>
        <v>18.310000000000002</v>
      </c>
      <c r="D27" s="521">
        <f>$D$18*$D$22</f>
        <v>8400</v>
      </c>
      <c r="E27" s="522">
        <f>$C$27*$D$27</f>
        <v>153804.00000000003</v>
      </c>
      <c r="F27" s="572">
        <f>'GDM Unit costs'!$B$8</f>
        <v>18.310000000000002</v>
      </c>
      <c r="G27" s="570">
        <f>$G$18*$G$22</f>
        <v>0</v>
      </c>
      <c r="H27" s="522">
        <f>$F$27*$G$27</f>
        <v>0</v>
      </c>
    </row>
    <row r="28" spans="1:8">
      <c r="A28" s="1279">
        <v>5</v>
      </c>
      <c r="B28" s="515" t="s">
        <v>826</v>
      </c>
      <c r="C28" s="532"/>
      <c r="D28" s="433">
        <f>'GDM Unit costs'!$B$39</f>
        <v>0.161</v>
      </c>
      <c r="E28" s="261"/>
      <c r="F28" s="532"/>
      <c r="G28" s="490">
        <f>'GDM Unit costs'!$B$39</f>
        <v>0.161</v>
      </c>
      <c r="H28" s="261"/>
    </row>
    <row r="29" spans="1:8" ht="12" customHeight="1">
      <c r="A29" s="1282"/>
      <c r="B29" s="525" t="s">
        <v>837</v>
      </c>
      <c r="C29" s="526"/>
      <c r="D29" s="527">
        <f>$D$27*$D$28</f>
        <v>1352.4</v>
      </c>
      <c r="E29" s="528"/>
      <c r="F29" s="526"/>
      <c r="G29" s="527">
        <f>$G$27*$G$28</f>
        <v>0</v>
      </c>
      <c r="H29" s="528"/>
    </row>
    <row r="30" spans="1:8" ht="16.5" customHeight="1">
      <c r="A30" s="1282"/>
      <c r="B30" s="519" t="s">
        <v>818</v>
      </c>
      <c r="C30" s="531">
        <f>'GDM Unit costs'!$B$12</f>
        <v>3.65</v>
      </c>
      <c r="D30" s="521">
        <f>$D$18*$D$23</f>
        <v>6720</v>
      </c>
      <c r="E30" s="522">
        <f>$C$30*$D$30</f>
        <v>24528</v>
      </c>
      <c r="F30" s="572">
        <f>'GDM Unit costs'!$B$12</f>
        <v>3.65</v>
      </c>
      <c r="G30" s="570">
        <f>$G$18*$G$23</f>
        <v>0</v>
      </c>
      <c r="H30" s="522">
        <f>$F$30*$G$30</f>
        <v>0</v>
      </c>
    </row>
    <row r="31" spans="1:8" ht="12" customHeight="1">
      <c r="A31" s="1282"/>
      <c r="B31" s="515" t="s">
        <v>826</v>
      </c>
      <c r="C31" s="532"/>
      <c r="D31" s="433">
        <f>'GDM Unit costs'!$B$40</f>
        <v>6.6721424485545397E-2</v>
      </c>
      <c r="E31" s="261"/>
      <c r="F31" s="532"/>
      <c r="G31" s="571">
        <f>'GDM Unit costs'!$B$40</f>
        <v>6.6721424485545397E-2</v>
      </c>
      <c r="H31" s="261"/>
    </row>
    <row r="32" spans="1:8" ht="25.5">
      <c r="A32" s="1282"/>
      <c r="B32" s="515" t="s">
        <v>827</v>
      </c>
      <c r="C32" s="533">
        <f>'GDM Unit costs'!$B$8</f>
        <v>18.310000000000002</v>
      </c>
      <c r="D32" s="260">
        <f>$D$30*$D$31</f>
        <v>448.36797254286506</v>
      </c>
      <c r="E32" s="261">
        <f>$C$32*$D$32</f>
        <v>8209.6175772598599</v>
      </c>
      <c r="F32" s="573">
        <f>'GDM Unit costs'!$B$8</f>
        <v>18.310000000000002</v>
      </c>
      <c r="G32" s="298">
        <f>$G$30*$G$31</f>
        <v>0</v>
      </c>
      <c r="H32" s="261">
        <f>$F$32*$G$32</f>
        <v>0</v>
      </c>
    </row>
    <row r="33" spans="1:8">
      <c r="A33" s="1282"/>
      <c r="B33" s="525" t="s">
        <v>828</v>
      </c>
      <c r="C33" s="526"/>
      <c r="D33" s="527">
        <f>$D$32*'GDM Unit costs'!$B$41</f>
        <v>254.49243902081281</v>
      </c>
      <c r="E33" s="528"/>
      <c r="F33" s="526"/>
      <c r="G33" s="574">
        <f>$G$32*'GDM Unit costs'!$B$41</f>
        <v>0</v>
      </c>
      <c r="H33" s="528"/>
    </row>
    <row r="34" spans="1:8">
      <c r="A34" s="1282"/>
      <c r="B34" s="519" t="s">
        <v>829</v>
      </c>
      <c r="C34" s="531">
        <f>'GDM Unit costs'!$B$12</f>
        <v>3.65</v>
      </c>
      <c r="D34" s="521">
        <f>$D$11*'GDM Unit costs'!$B$37</f>
        <v>10262.220000000001</v>
      </c>
      <c r="E34" s="522">
        <f>$C$34*$D$34</f>
        <v>37457.103000000003</v>
      </c>
      <c r="F34" s="572">
        <f>'GDM Unit costs'!$B$12</f>
        <v>3.65</v>
      </c>
      <c r="G34" s="570">
        <f>$G$11*'GDM Unit costs'!$B$37</f>
        <v>0</v>
      </c>
      <c r="H34" s="522">
        <f>$F$34*$G$34</f>
        <v>0</v>
      </c>
    </row>
    <row r="35" spans="1:8">
      <c r="A35" s="1282"/>
      <c r="B35" s="515" t="s">
        <v>826</v>
      </c>
      <c r="C35" s="452"/>
      <c r="D35" s="433">
        <f>'GDM Unit costs'!$B$42</f>
        <v>4.5438396608965169E-2</v>
      </c>
      <c r="E35" s="261"/>
      <c r="F35" s="452"/>
      <c r="G35" s="571">
        <f>'GDM Unit costs'!$B$42</f>
        <v>4.5438396608965169E-2</v>
      </c>
      <c r="H35" s="261"/>
    </row>
    <row r="36" spans="1:8" ht="25.5">
      <c r="A36" s="1282"/>
      <c r="B36" s="515" t="s">
        <v>827</v>
      </c>
      <c r="C36" s="533">
        <f>'GDM Unit costs'!$B$8</f>
        <v>18.310000000000002</v>
      </c>
      <c r="D36" s="260">
        <f>$D$34*$D$35</f>
        <v>466.29882244845459</v>
      </c>
      <c r="E36" s="261">
        <f>$C$36*$D$36</f>
        <v>8537.9314390312047</v>
      </c>
      <c r="F36" s="573">
        <f>'GDM Unit costs'!$B$8</f>
        <v>18.310000000000002</v>
      </c>
      <c r="G36" s="298">
        <f>$G$34*$G$35</f>
        <v>0</v>
      </c>
      <c r="H36" s="261">
        <f>$F$36*$G$36</f>
        <v>0</v>
      </c>
    </row>
    <row r="37" spans="1:8">
      <c r="A37" s="1282"/>
      <c r="B37" s="525" t="s">
        <v>828</v>
      </c>
      <c r="C37" s="526"/>
      <c r="D37" s="527">
        <f>$D$36*'GDM Unit costs'!$B$43</f>
        <v>172.36335550736891</v>
      </c>
      <c r="E37" s="528"/>
      <c r="F37" s="526"/>
      <c r="G37" s="574">
        <f>$G$36*'GDM Unit costs'!$B$43</f>
        <v>0</v>
      </c>
      <c r="H37" s="528"/>
    </row>
    <row r="38" spans="1:8">
      <c r="A38" s="1282"/>
      <c r="B38" s="515" t="s">
        <v>832</v>
      </c>
      <c r="C38" s="520"/>
      <c r="D38" s="260">
        <f>$D$27+$D$32+$D$36</f>
        <v>9314.666794991319</v>
      </c>
      <c r="E38" s="261">
        <f>$E$27+$E$32+$E$36</f>
        <v>170551.5490162911</v>
      </c>
      <c r="F38" s="259"/>
      <c r="G38" s="260">
        <f>$G$27+$G$32+$G$36</f>
        <v>0</v>
      </c>
      <c r="H38" s="261">
        <f>$H$27+$H$32+$H$36</f>
        <v>0</v>
      </c>
    </row>
    <row r="39" spans="1:8">
      <c r="A39" s="1282"/>
      <c r="B39" s="515" t="s">
        <v>833</v>
      </c>
      <c r="C39" s="452"/>
      <c r="D39" s="534">
        <f>$D$30+$D$34</f>
        <v>16982.22</v>
      </c>
      <c r="E39" s="261">
        <f>$E$30+$E$34</f>
        <v>61985.103000000003</v>
      </c>
      <c r="F39" s="259"/>
      <c r="G39" s="534">
        <f>$G$30+$G$34</f>
        <v>0</v>
      </c>
      <c r="H39" s="261">
        <f>$H$30+$H$34</f>
        <v>0</v>
      </c>
    </row>
    <row r="40" spans="1:8" ht="25.5">
      <c r="A40" s="1282"/>
      <c r="B40" s="535" t="s">
        <v>843</v>
      </c>
      <c r="C40" s="536"/>
      <c r="D40" s="537">
        <f>SUM($D$38:$D$39)</f>
        <v>26296.886794991318</v>
      </c>
      <c r="E40" s="538">
        <f>SUM($E$38:$E$39)</f>
        <v>232536.6520162911</v>
      </c>
      <c r="F40" s="539"/>
      <c r="G40" s="537">
        <f>SUM($G$38:$G$39)</f>
        <v>0</v>
      </c>
      <c r="H40" s="538">
        <f>SUM($H$38:$H$39)</f>
        <v>0</v>
      </c>
    </row>
    <row r="41" spans="1:8" ht="25.5">
      <c r="A41" s="1282"/>
      <c r="B41" s="540" t="s">
        <v>834</v>
      </c>
      <c r="C41" s="541"/>
      <c r="D41" s="542">
        <f>$D$29+$D$33+$D$37</f>
        <v>1779.2557945281817</v>
      </c>
      <c r="E41" s="543"/>
      <c r="F41" s="544"/>
      <c r="G41" s="542">
        <f>$G$29+$G$33+$G$37</f>
        <v>0</v>
      </c>
      <c r="H41" s="543"/>
    </row>
    <row r="42" spans="1:8">
      <c r="A42" s="1282"/>
      <c r="B42" s="515"/>
      <c r="C42" s="452"/>
      <c r="D42" s="260"/>
      <c r="E42" s="261"/>
      <c r="F42" s="259"/>
      <c r="G42" s="260"/>
      <c r="H42" s="516"/>
    </row>
    <row r="43" spans="1:8">
      <c r="A43" s="1282"/>
      <c r="B43" s="510" t="s">
        <v>785</v>
      </c>
      <c r="C43" s="511"/>
      <c r="D43" s="482"/>
      <c r="E43" s="512"/>
      <c r="F43" s="513"/>
      <c r="G43" s="482"/>
      <c r="H43" s="514"/>
    </row>
    <row r="44" spans="1:8">
      <c r="A44" s="1282"/>
      <c r="B44" s="517"/>
      <c r="C44" s="518"/>
      <c r="D44" s="260"/>
      <c r="E44" s="261"/>
      <c r="F44" s="259"/>
      <c r="G44" s="260"/>
      <c r="H44" s="516"/>
    </row>
    <row r="45" spans="1:8" ht="25.5">
      <c r="A45" s="1282"/>
      <c r="B45" s="545" t="s">
        <v>835</v>
      </c>
      <c r="C45" s="546">
        <f>'GDM Unit costs'!$B$8</f>
        <v>18.310000000000002</v>
      </c>
      <c r="D45" s="547">
        <f>$D$18</f>
        <v>21000</v>
      </c>
      <c r="E45" s="548"/>
      <c r="F45" s="575">
        <f>'GDM Unit costs'!$B$8</f>
        <v>18.310000000000002</v>
      </c>
      <c r="G45" s="547">
        <f>$G$18</f>
        <v>0</v>
      </c>
      <c r="H45" s="549"/>
    </row>
    <row r="46" spans="1:8">
      <c r="A46" s="1282"/>
      <c r="B46" s="515" t="s">
        <v>836</v>
      </c>
      <c r="C46" s="518"/>
      <c r="D46" s="433">
        <f>'GDM Unit costs'!$B$39</f>
        <v>0.161</v>
      </c>
      <c r="E46" s="550"/>
      <c r="F46" s="518"/>
      <c r="G46" s="433">
        <f>'GDM Unit costs'!$B$39</f>
        <v>0.161</v>
      </c>
      <c r="H46" s="516"/>
    </row>
    <row r="47" spans="1:8" ht="25.5">
      <c r="A47" s="1282"/>
      <c r="B47" s="535" t="s">
        <v>842</v>
      </c>
      <c r="C47" s="551"/>
      <c r="D47" s="552"/>
      <c r="E47" s="538">
        <f>$C$45*$D$45</f>
        <v>384510.00000000006</v>
      </c>
      <c r="F47" s="551"/>
      <c r="G47" s="552"/>
      <c r="H47" s="538">
        <f>$F$45*$G$45</f>
        <v>0</v>
      </c>
    </row>
    <row r="48" spans="1:8" ht="25.5">
      <c r="A48" s="1282"/>
      <c r="B48" s="540" t="s">
        <v>838</v>
      </c>
      <c r="C48" s="553"/>
      <c r="D48" s="554">
        <f>$D$45*$D$46</f>
        <v>3381</v>
      </c>
      <c r="E48" s="555"/>
      <c r="F48" s="556"/>
      <c r="G48" s="554">
        <f>$G$45*$G$46</f>
        <v>0</v>
      </c>
      <c r="H48" s="557"/>
    </row>
    <row r="49" spans="1:8">
      <c r="A49" s="1282"/>
      <c r="B49" s="517"/>
      <c r="C49" s="518"/>
      <c r="D49" s="260"/>
      <c r="E49" s="261"/>
      <c r="F49" s="518"/>
      <c r="G49" s="260"/>
      <c r="H49" s="261"/>
    </row>
    <row r="50" spans="1:8" ht="25.5">
      <c r="A50" s="1282"/>
      <c r="B50" s="535" t="s">
        <v>839</v>
      </c>
      <c r="C50" s="551"/>
      <c r="D50" s="537"/>
      <c r="E50" s="538">
        <f>$E$47-$E$40</f>
        <v>151973.34798370895</v>
      </c>
      <c r="F50" s="551"/>
      <c r="G50" s="537"/>
      <c r="H50" s="538">
        <f>$H$47-$H$40</f>
        <v>0</v>
      </c>
    </row>
    <row r="51" spans="1:8">
      <c r="A51" s="1282"/>
      <c r="B51" s="510" t="s">
        <v>841</v>
      </c>
      <c r="C51" s="511"/>
      <c r="D51" s="290">
        <f>$D$45-$D$38</f>
        <v>11685.333205008681</v>
      </c>
      <c r="E51" s="291"/>
      <c r="F51" s="511"/>
      <c r="G51" s="290">
        <f>$G$45-$G$38</f>
        <v>0</v>
      </c>
      <c r="H51" s="291"/>
    </row>
    <row r="52" spans="1:8">
      <c r="A52" s="1282"/>
      <c r="B52" s="540" t="s">
        <v>840</v>
      </c>
      <c r="C52" s="553"/>
      <c r="D52" s="542">
        <f>$D$48-$D$41</f>
        <v>1601.7442054718183</v>
      </c>
      <c r="E52" s="557"/>
      <c r="F52" s="553"/>
      <c r="G52" s="542">
        <f>$G$48-$G$41</f>
        <v>0</v>
      </c>
      <c r="H52" s="557"/>
    </row>
    <row r="53" spans="1:8">
      <c r="A53" s="1282"/>
      <c r="B53" s="517"/>
      <c r="C53" s="518"/>
      <c r="D53" s="260"/>
      <c r="E53" s="261"/>
      <c r="F53" s="259"/>
      <c r="G53" s="260"/>
      <c r="H53" s="516"/>
    </row>
    <row r="54" spans="1:8">
      <c r="A54" s="1282"/>
      <c r="B54" s="510" t="s">
        <v>844</v>
      </c>
      <c r="C54" s="511"/>
      <c r="D54" s="482"/>
      <c r="E54" s="512"/>
      <c r="F54" s="513"/>
      <c r="G54" s="482"/>
      <c r="H54" s="514"/>
    </row>
    <row r="55" spans="1:8" ht="9" customHeight="1">
      <c r="A55" s="1282"/>
      <c r="B55" s="517"/>
      <c r="C55" s="518"/>
      <c r="D55" s="260"/>
      <c r="E55" s="261"/>
      <c r="F55" s="259"/>
      <c r="G55" s="260"/>
      <c r="H55" s="516"/>
    </row>
    <row r="56" spans="1:8">
      <c r="A56" s="1282"/>
      <c r="B56" s="515" t="s">
        <v>840</v>
      </c>
      <c r="C56" s="518"/>
      <c r="D56" s="260">
        <f>$D$52</f>
        <v>1601.7442054718183</v>
      </c>
      <c r="E56" s="261"/>
      <c r="F56" s="259"/>
      <c r="G56" s="260">
        <f>$G$52</f>
        <v>0</v>
      </c>
      <c r="H56" s="516"/>
    </row>
    <row r="57" spans="1:8">
      <c r="A57" s="1282"/>
      <c r="B57" s="517"/>
      <c r="C57" s="518"/>
      <c r="D57" s="260"/>
      <c r="E57" s="261"/>
      <c r="F57" s="259"/>
      <c r="G57" s="260"/>
      <c r="H57" s="516"/>
    </row>
    <row r="58" spans="1:8">
      <c r="A58" s="1438">
        <v>6</v>
      </c>
      <c r="B58" s="515" t="s">
        <v>845</v>
      </c>
      <c r="C58" s="518"/>
      <c r="D58" s="444">
        <f>'GDM Unit costs'!$B$44</f>
        <v>0.65</v>
      </c>
      <c r="E58" s="261"/>
      <c r="F58" s="259"/>
      <c r="G58" s="490">
        <f>'GDM Unit costs'!$B$44</f>
        <v>0.65</v>
      </c>
      <c r="H58" s="516"/>
    </row>
    <row r="59" spans="1:8">
      <c r="A59" s="1438"/>
      <c r="B59" s="515" t="s">
        <v>4</v>
      </c>
      <c r="C59" s="518"/>
      <c r="D59" s="444">
        <f>'GDM Unit costs'!$B$45</f>
        <v>0.2</v>
      </c>
      <c r="E59" s="261"/>
      <c r="F59" s="259"/>
      <c r="G59" s="490">
        <f>'GDM Unit costs'!$B$45</f>
        <v>0.2</v>
      </c>
      <c r="H59" s="516"/>
    </row>
    <row r="60" spans="1:8">
      <c r="A60" s="1438"/>
      <c r="B60" s="515" t="s">
        <v>5</v>
      </c>
      <c r="C60" s="518"/>
      <c r="D60" s="444">
        <f>'GDM Unit costs'!$B$46</f>
        <v>0.15</v>
      </c>
      <c r="E60" s="261"/>
      <c r="F60" s="259"/>
      <c r="G60" s="490">
        <f>'GDM Unit costs'!$B$46</f>
        <v>0.15</v>
      </c>
      <c r="H60" s="516"/>
    </row>
    <row r="61" spans="1:8">
      <c r="A61" s="1282"/>
      <c r="B61" s="515"/>
      <c r="C61" s="452"/>
      <c r="D61" s="260"/>
      <c r="E61" s="261"/>
      <c r="F61" s="259"/>
      <c r="G61" s="260"/>
      <c r="H61" s="516"/>
    </row>
    <row r="62" spans="1:8">
      <c r="A62" s="1282"/>
      <c r="B62" s="515" t="s">
        <v>6</v>
      </c>
      <c r="C62" s="452"/>
      <c r="D62" s="260">
        <f>$D$56*$D$58</f>
        <v>1041.133733556682</v>
      </c>
      <c r="E62" s="261"/>
      <c r="F62" s="259"/>
      <c r="G62" s="260">
        <f>$G$56*$G$58</f>
        <v>0</v>
      </c>
      <c r="H62" s="516"/>
    </row>
    <row r="63" spans="1:8">
      <c r="A63" s="1282"/>
      <c r="B63" s="515" t="s">
        <v>7</v>
      </c>
      <c r="C63" s="452"/>
      <c r="D63" s="260">
        <f>$D$56*$D$59</f>
        <v>320.34884109436371</v>
      </c>
      <c r="E63" s="261"/>
      <c r="F63" s="259"/>
      <c r="G63" s="260">
        <f>$G$56*$G$59</f>
        <v>0</v>
      </c>
      <c r="H63" s="516"/>
    </row>
    <row r="64" spans="1:8" ht="14.25" customHeight="1">
      <c r="A64" s="1282"/>
      <c r="B64" s="515" t="s">
        <v>8</v>
      </c>
      <c r="C64" s="452"/>
      <c r="D64" s="260">
        <f>$D$56*$D$60</f>
        <v>240.26163082077272</v>
      </c>
      <c r="E64" s="261"/>
      <c r="F64" s="259"/>
      <c r="G64" s="260">
        <f>$G$56*$G$60</f>
        <v>0</v>
      </c>
      <c r="H64" s="516"/>
    </row>
    <row r="65" spans="1:8" ht="14.25" customHeight="1">
      <c r="A65" s="1282"/>
      <c r="B65" s="515"/>
      <c r="C65" s="452"/>
      <c r="D65" s="260"/>
      <c r="E65" s="261"/>
      <c r="F65" s="259"/>
      <c r="G65" s="260"/>
      <c r="H65" s="516"/>
    </row>
    <row r="66" spans="1:8">
      <c r="A66" s="1282"/>
      <c r="B66" s="517" t="s">
        <v>19</v>
      </c>
      <c r="C66" s="452"/>
      <c r="D66" s="260"/>
      <c r="E66" s="261"/>
      <c r="F66" s="259"/>
      <c r="G66" s="260"/>
      <c r="H66" s="516"/>
    </row>
    <row r="67" spans="1:8">
      <c r="A67" s="1282"/>
      <c r="B67" s="515" t="s">
        <v>17</v>
      </c>
      <c r="C67" s="532">
        <f>'GDM Unit costs'!$B$18</f>
        <v>5.63</v>
      </c>
      <c r="D67" s="260">
        <f>$D$52</f>
        <v>1601.7442054718183</v>
      </c>
      <c r="E67" s="261">
        <f>$C$67*$D$67</f>
        <v>9017.8198768063376</v>
      </c>
      <c r="F67" s="576">
        <f>'GDM Unit costs'!$B$18</f>
        <v>5.63</v>
      </c>
      <c r="G67" s="260">
        <f>$G$52</f>
        <v>0</v>
      </c>
      <c r="H67" s="261">
        <f>$F$67*$G$67</f>
        <v>0</v>
      </c>
    </row>
    <row r="68" spans="1:8">
      <c r="A68" s="1282"/>
      <c r="B68" s="515" t="s">
        <v>11</v>
      </c>
      <c r="C68" s="532">
        <f>'GDM Unit costs'!$B$19</f>
        <v>11.4</v>
      </c>
      <c r="D68" s="260">
        <f>$D$52</f>
        <v>1601.7442054718183</v>
      </c>
      <c r="E68" s="261">
        <f>$C$68*$D$67</f>
        <v>18259.883942378729</v>
      </c>
      <c r="F68" s="576">
        <f>'GDM Unit costs'!$B$19</f>
        <v>11.4</v>
      </c>
      <c r="G68" s="260">
        <f>$G$52</f>
        <v>0</v>
      </c>
      <c r="H68" s="261">
        <f>$F$68*$G$67</f>
        <v>0</v>
      </c>
    </row>
    <row r="69" spans="1:8">
      <c r="A69" s="1282"/>
      <c r="B69" s="515" t="s">
        <v>12</v>
      </c>
      <c r="C69" s="532">
        <f>'GDM Unit costs'!$B$20</f>
        <v>97.79</v>
      </c>
      <c r="D69" s="260">
        <f>$D$52</f>
        <v>1601.7442054718183</v>
      </c>
      <c r="E69" s="261">
        <f>$C$69*$D$67</f>
        <v>156634.56585308912</v>
      </c>
      <c r="F69" s="576">
        <f>'GDM Unit costs'!$B$20</f>
        <v>97.79</v>
      </c>
      <c r="G69" s="260">
        <f>$G$52</f>
        <v>0</v>
      </c>
      <c r="H69" s="261">
        <f>$F$69*$G$67</f>
        <v>0</v>
      </c>
    </row>
    <row r="70" spans="1:8">
      <c r="A70" s="1282"/>
      <c r="B70" s="517" t="s">
        <v>18</v>
      </c>
      <c r="C70" s="558">
        <f>SUM($C$67:$C$69)</f>
        <v>114.82000000000001</v>
      </c>
      <c r="D70" s="260"/>
      <c r="E70" s="241"/>
      <c r="F70" s="558">
        <f>SUM($F$67:$F$69)</f>
        <v>114.82000000000001</v>
      </c>
      <c r="G70" s="260"/>
      <c r="H70" s="241"/>
    </row>
    <row r="71" spans="1:8">
      <c r="A71" s="1282"/>
      <c r="B71" s="515"/>
      <c r="C71" s="452"/>
      <c r="D71" s="260"/>
      <c r="E71" s="261"/>
      <c r="F71" s="259"/>
      <c r="G71" s="260"/>
      <c r="H71" s="516"/>
    </row>
    <row r="72" spans="1:8">
      <c r="A72" s="1282"/>
      <c r="B72" s="517" t="s">
        <v>20</v>
      </c>
      <c r="C72" s="452"/>
      <c r="D72" s="260"/>
      <c r="E72" s="261"/>
      <c r="F72" s="259"/>
      <c r="G72" s="260"/>
      <c r="H72" s="516"/>
    </row>
    <row r="73" spans="1:8">
      <c r="A73" s="1282"/>
      <c r="B73" s="515" t="s">
        <v>21</v>
      </c>
      <c r="C73" s="532">
        <f>'GDM Unit costs'!$B$23</f>
        <v>3.09</v>
      </c>
      <c r="D73" s="260">
        <f>$D$56*$D$59</f>
        <v>320.34884109436371</v>
      </c>
      <c r="E73" s="261">
        <f>$C$73*$D$73</f>
        <v>989.87791898158378</v>
      </c>
      <c r="F73" s="576">
        <f>'GDM Unit costs'!$B$23</f>
        <v>3.09</v>
      </c>
      <c r="G73" s="298">
        <f>$G$56*$G$59</f>
        <v>0</v>
      </c>
      <c r="H73" s="261">
        <f>$F$73*$G$73</f>
        <v>0</v>
      </c>
    </row>
    <row r="74" spans="1:8">
      <c r="A74" s="1282"/>
      <c r="B74" s="515" t="s">
        <v>15</v>
      </c>
      <c r="C74" s="532">
        <f>'GDM Unit costs'!$B$24</f>
        <v>60.95</v>
      </c>
      <c r="D74" s="260">
        <f>$D$56*$D$60</f>
        <v>240.26163082077272</v>
      </c>
      <c r="E74" s="261">
        <f>$C$74*$D$74</f>
        <v>14643.946398526097</v>
      </c>
      <c r="F74" s="576">
        <f>'GDM Unit costs'!$B$24</f>
        <v>60.95</v>
      </c>
      <c r="G74" s="298">
        <f>$G$56*$G$60</f>
        <v>0</v>
      </c>
      <c r="H74" s="261">
        <f>$F$74*$G$74</f>
        <v>0</v>
      </c>
    </row>
    <row r="75" spans="1:8">
      <c r="A75" s="1282"/>
      <c r="B75" s="515"/>
      <c r="C75" s="509"/>
      <c r="D75" s="260"/>
      <c r="E75" s="261"/>
      <c r="F75" s="509"/>
      <c r="G75" s="260"/>
      <c r="H75" s="261"/>
    </row>
    <row r="76" spans="1:8">
      <c r="A76" s="1282"/>
      <c r="B76" s="515" t="s">
        <v>16</v>
      </c>
      <c r="C76" s="532">
        <f>'GDM Unit costs'!$B$25</f>
        <v>3.37</v>
      </c>
      <c r="D76" s="260">
        <f>$D$56</f>
        <v>1601.7442054718183</v>
      </c>
      <c r="E76" s="261">
        <f>$C$76*$D$76</f>
        <v>5397.8779724400274</v>
      </c>
      <c r="F76" s="576">
        <f>'GDM Unit costs'!$B$25</f>
        <v>3.37</v>
      </c>
      <c r="G76" s="298">
        <f>$G$56</f>
        <v>0</v>
      </c>
      <c r="H76" s="261">
        <f>$F$76*$G$76</f>
        <v>0</v>
      </c>
    </row>
    <row r="77" spans="1:8">
      <c r="A77" s="1282"/>
      <c r="B77" s="515"/>
      <c r="C77" s="532"/>
      <c r="D77" s="260"/>
      <c r="E77" s="559"/>
      <c r="F77" s="532"/>
      <c r="G77" s="260"/>
      <c r="H77" s="559"/>
    </row>
    <row r="78" spans="1:8">
      <c r="A78" s="1282"/>
      <c r="B78" s="515" t="s">
        <v>23</v>
      </c>
      <c r="C78" s="532">
        <f>'GDM Unit costs'!$B$25</f>
        <v>3.37</v>
      </c>
      <c r="D78" s="260">
        <f>$D$56</f>
        <v>1601.7442054718183</v>
      </c>
      <c r="E78" s="261">
        <f>$C$78*$D$78</f>
        <v>5397.8779724400274</v>
      </c>
      <c r="F78" s="576">
        <f>'GDM Unit costs'!$B$25</f>
        <v>3.37</v>
      </c>
      <c r="G78" s="298">
        <f>$G$56</f>
        <v>0</v>
      </c>
      <c r="H78" s="261">
        <f>$F$78*$G$78</f>
        <v>0</v>
      </c>
    </row>
    <row r="79" spans="1:8">
      <c r="A79" s="1282"/>
      <c r="B79" s="517" t="s">
        <v>22</v>
      </c>
      <c r="C79" s="509"/>
      <c r="D79" s="260"/>
      <c r="E79" s="241">
        <f>SUM($E$67:$E$78)</f>
        <v>210341.84993466196</v>
      </c>
      <c r="F79" s="509"/>
      <c r="G79" s="260"/>
      <c r="H79" s="241">
        <f>SUM($H$67:$H$78)</f>
        <v>0</v>
      </c>
    </row>
    <row r="80" spans="1:8">
      <c r="A80" s="1282"/>
      <c r="B80" s="515"/>
      <c r="C80" s="509"/>
      <c r="D80" s="260"/>
      <c r="E80" s="261"/>
      <c r="F80" s="509"/>
      <c r="G80" s="260"/>
      <c r="H80" s="261"/>
    </row>
    <row r="81" spans="1:9" ht="13.5" thickBot="1">
      <c r="A81" s="1282"/>
      <c r="B81" s="560" t="s">
        <v>24</v>
      </c>
      <c r="C81" s="561"/>
      <c r="D81" s="562"/>
      <c r="E81" s="563">
        <f>$E$50+$E$79</f>
        <v>362315.19791837095</v>
      </c>
      <c r="F81" s="561"/>
      <c r="G81" s="562"/>
      <c r="H81" s="563">
        <f>$H$50+$H$79</f>
        <v>0</v>
      </c>
      <c r="I81" s="564"/>
    </row>
    <row r="82" spans="1:9">
      <c r="A82" s="1282"/>
      <c r="B82" s="430"/>
      <c r="C82" s="565"/>
      <c r="D82" s="260"/>
      <c r="E82" s="315"/>
      <c r="F82" s="315"/>
      <c r="G82" s="260"/>
      <c r="H82" s="493"/>
    </row>
    <row r="83" spans="1:9">
      <c r="A83" s="1261" t="s">
        <v>151</v>
      </c>
      <c r="B83" s="1249" t="s">
        <v>152</v>
      </c>
      <c r="C83" s="500"/>
      <c r="D83" s="493"/>
      <c r="E83" s="494"/>
      <c r="F83" s="494"/>
      <c r="G83" s="493"/>
      <c r="H83" s="493"/>
    </row>
    <row r="84" spans="1:9" ht="17.25" customHeight="1">
      <c r="A84" s="1281">
        <v>1</v>
      </c>
      <c r="B84" s="1434" t="s">
        <v>877</v>
      </c>
      <c r="C84" s="1434"/>
      <c r="D84" s="1434"/>
      <c r="E84" s="1434"/>
      <c r="F84" s="1434"/>
      <c r="G84" s="1434"/>
      <c r="H84" s="1434"/>
    </row>
    <row r="85" spans="1:9" ht="32.25" customHeight="1">
      <c r="A85" s="1281">
        <v>2</v>
      </c>
      <c r="B85" s="1434" t="s">
        <v>878</v>
      </c>
      <c r="C85" s="1434"/>
      <c r="D85" s="1434"/>
      <c r="E85" s="1434"/>
      <c r="F85" s="1434"/>
      <c r="G85" s="1434"/>
      <c r="H85" s="1434"/>
    </row>
    <row r="86" spans="1:9" ht="31.5" customHeight="1">
      <c r="A86" s="1281">
        <v>3</v>
      </c>
      <c r="B86" s="1431" t="s">
        <v>879</v>
      </c>
      <c r="C86" s="1431"/>
      <c r="D86" s="1431"/>
      <c r="E86" s="1431"/>
      <c r="F86" s="1431"/>
      <c r="G86" s="1431"/>
      <c r="H86" s="1431"/>
    </row>
    <row r="87" spans="1:9" ht="25.5" customHeight="1">
      <c r="A87" s="1281">
        <v>4</v>
      </c>
      <c r="B87" s="1436" t="s">
        <v>881</v>
      </c>
      <c r="C87" s="1436"/>
      <c r="D87" s="1436"/>
      <c r="E87" s="1436"/>
      <c r="F87" s="1436"/>
      <c r="G87" s="1436"/>
      <c r="H87" s="1436"/>
    </row>
    <row r="88" spans="1:9" ht="35.25" customHeight="1">
      <c r="A88" s="1281">
        <v>5</v>
      </c>
      <c r="B88" s="1434" t="s">
        <v>882</v>
      </c>
      <c r="C88" s="1434"/>
      <c r="D88" s="1434"/>
      <c r="E88" s="1434"/>
      <c r="F88" s="1434"/>
      <c r="G88" s="1434"/>
      <c r="H88" s="1434"/>
    </row>
    <row r="89" spans="1:9" ht="22.5" customHeight="1">
      <c r="A89" s="1281">
        <v>6</v>
      </c>
      <c r="B89" s="1434" t="s">
        <v>883</v>
      </c>
      <c r="C89" s="1434"/>
      <c r="D89" s="1434"/>
      <c r="E89" s="1434"/>
      <c r="F89" s="1434"/>
      <c r="G89" s="1434"/>
      <c r="H89" s="1434"/>
      <c r="I89" s="1434"/>
    </row>
    <row r="90" spans="1:9">
      <c r="A90" s="1281"/>
      <c r="B90" s="500"/>
      <c r="C90" s="500"/>
      <c r="D90" s="493"/>
      <c r="E90" s="494"/>
      <c r="F90" s="494"/>
      <c r="G90" s="493"/>
      <c r="H90" s="493"/>
    </row>
    <row r="91" spans="1:9">
      <c r="A91" s="1281"/>
      <c r="B91" s="500"/>
      <c r="C91" s="500"/>
      <c r="D91" s="493"/>
      <c r="E91" s="494"/>
      <c r="F91" s="494"/>
      <c r="G91" s="493"/>
      <c r="H91" s="493"/>
    </row>
    <row r="92" spans="1:9">
      <c r="A92" s="1281"/>
      <c r="B92" s="500"/>
      <c r="C92" s="500"/>
      <c r="D92" s="493"/>
      <c r="E92" s="494"/>
      <c r="F92" s="494"/>
      <c r="G92" s="493"/>
      <c r="H92" s="493"/>
    </row>
    <row r="93" spans="1:9">
      <c r="A93" s="1281"/>
      <c r="B93" s="500"/>
      <c r="C93" s="500"/>
      <c r="D93" s="493"/>
      <c r="E93" s="494"/>
      <c r="F93" s="494"/>
      <c r="G93" s="493"/>
      <c r="H93" s="493"/>
    </row>
    <row r="94" spans="1:9">
      <c r="A94" s="1281"/>
      <c r="B94" s="500"/>
      <c r="C94" s="500"/>
      <c r="D94" s="493"/>
      <c r="E94" s="494"/>
      <c r="F94" s="494"/>
      <c r="G94" s="493"/>
      <c r="H94" s="493"/>
    </row>
    <row r="95" spans="1:9">
      <c r="A95" s="1281"/>
      <c r="B95" s="500"/>
      <c r="C95" s="500"/>
      <c r="D95" s="493"/>
      <c r="E95" s="494"/>
      <c r="F95" s="494"/>
      <c r="G95" s="493"/>
      <c r="H95" s="493"/>
    </row>
    <row r="96" spans="1:9">
      <c r="A96" s="1281"/>
      <c r="B96" s="500"/>
      <c r="C96" s="500"/>
      <c r="D96" s="493"/>
      <c r="E96" s="494"/>
      <c r="F96" s="494"/>
      <c r="G96" s="493"/>
      <c r="H96" s="493"/>
    </row>
    <row r="97" spans="1:8">
      <c r="A97" s="1281"/>
      <c r="B97" s="500"/>
      <c r="C97" s="500"/>
      <c r="D97" s="493"/>
      <c r="E97" s="494"/>
      <c r="F97" s="494"/>
      <c r="G97" s="493"/>
      <c r="H97" s="493"/>
    </row>
    <row r="98" spans="1:8">
      <c r="A98" s="1281"/>
      <c r="B98" s="500"/>
      <c r="C98" s="500"/>
      <c r="D98" s="493"/>
      <c r="E98" s="494"/>
      <c r="F98" s="494"/>
      <c r="G98" s="493"/>
      <c r="H98" s="493"/>
    </row>
    <row r="99" spans="1:8">
      <c r="A99" s="1281"/>
      <c r="B99" s="500"/>
      <c r="C99" s="500"/>
      <c r="D99" s="493"/>
      <c r="E99" s="494"/>
      <c r="F99" s="494"/>
      <c r="G99" s="493"/>
      <c r="H99" s="493"/>
    </row>
    <row r="100" spans="1:8">
      <c r="A100" s="1281"/>
      <c r="B100" s="500"/>
      <c r="C100" s="500"/>
      <c r="D100" s="493"/>
      <c r="E100" s="494"/>
      <c r="F100" s="494"/>
      <c r="G100" s="493"/>
      <c r="H100" s="493"/>
    </row>
    <row r="101" spans="1:8">
      <c r="A101" s="1281"/>
      <c r="B101" s="500"/>
      <c r="C101" s="500"/>
      <c r="D101" s="493"/>
      <c r="E101" s="494"/>
      <c r="F101" s="494"/>
      <c r="G101" s="493"/>
      <c r="H101" s="493"/>
    </row>
    <row r="102" spans="1:8">
      <c r="A102" s="1281"/>
      <c r="B102" s="500"/>
      <c r="C102" s="500"/>
      <c r="D102" s="493"/>
      <c r="E102" s="494"/>
      <c r="F102" s="494"/>
      <c r="G102" s="493"/>
      <c r="H102" s="493"/>
    </row>
    <row r="103" spans="1:8">
      <c r="A103" s="1281"/>
      <c r="B103" s="500"/>
      <c r="C103" s="500"/>
      <c r="D103" s="493"/>
      <c r="E103" s="494"/>
      <c r="F103" s="494"/>
      <c r="G103" s="493"/>
      <c r="H103" s="493"/>
    </row>
    <row r="104" spans="1:8">
      <c r="A104" s="1281"/>
      <c r="B104" s="500"/>
      <c r="C104" s="500"/>
      <c r="D104" s="493"/>
      <c r="E104" s="494"/>
      <c r="F104" s="494"/>
      <c r="G104" s="493"/>
      <c r="H104" s="493"/>
    </row>
    <row r="105" spans="1:8">
      <c r="A105" s="1281"/>
      <c r="B105" s="500"/>
      <c r="C105" s="500"/>
      <c r="D105" s="493"/>
      <c r="E105" s="494"/>
      <c r="F105" s="494"/>
      <c r="G105" s="493"/>
      <c r="H105" s="493"/>
    </row>
    <row r="106" spans="1:8">
      <c r="A106" s="1281"/>
      <c r="B106" s="500"/>
      <c r="C106" s="500"/>
      <c r="D106" s="493"/>
      <c r="E106" s="494"/>
      <c r="F106" s="494"/>
      <c r="G106" s="493"/>
      <c r="H106" s="493"/>
    </row>
    <row r="107" spans="1:8">
      <c r="A107" s="1281"/>
      <c r="B107" s="500"/>
      <c r="C107" s="500"/>
      <c r="D107" s="493"/>
      <c r="E107" s="494"/>
      <c r="F107" s="494"/>
      <c r="G107" s="493"/>
      <c r="H107" s="493"/>
    </row>
    <row r="108" spans="1:8">
      <c r="A108" s="1281"/>
      <c r="B108" s="500"/>
      <c r="C108" s="500"/>
      <c r="D108" s="493"/>
      <c r="E108" s="494"/>
      <c r="F108" s="494"/>
      <c r="G108" s="493"/>
      <c r="H108" s="493"/>
    </row>
    <row r="109" spans="1:8">
      <c r="A109" s="1281"/>
      <c r="B109" s="500"/>
      <c r="C109" s="500"/>
      <c r="D109" s="493"/>
      <c r="E109" s="494"/>
      <c r="F109" s="494"/>
      <c r="G109" s="493"/>
      <c r="H109" s="493"/>
    </row>
    <row r="110" spans="1:8">
      <c r="A110" s="1281"/>
      <c r="B110" s="500"/>
      <c r="C110" s="500"/>
      <c r="D110" s="493"/>
      <c r="E110" s="494"/>
      <c r="F110" s="494"/>
      <c r="G110" s="493"/>
      <c r="H110" s="493"/>
    </row>
    <row r="111" spans="1:8">
      <c r="A111" s="1281"/>
      <c r="B111" s="500"/>
      <c r="C111" s="500"/>
      <c r="D111" s="493"/>
      <c r="E111" s="494"/>
      <c r="F111" s="494"/>
      <c r="G111" s="493"/>
      <c r="H111" s="493"/>
    </row>
    <row r="112" spans="1:8">
      <c r="A112" s="1281"/>
      <c r="B112" s="500"/>
      <c r="C112" s="500"/>
      <c r="D112" s="493"/>
      <c r="E112" s="494"/>
      <c r="F112" s="494"/>
      <c r="G112" s="493"/>
      <c r="H112" s="493"/>
    </row>
    <row r="113" spans="1:8">
      <c r="A113" s="1281"/>
      <c r="B113" s="500"/>
      <c r="C113" s="500"/>
      <c r="D113" s="493"/>
      <c r="E113" s="494"/>
      <c r="F113" s="494"/>
      <c r="G113" s="493"/>
      <c r="H113" s="493"/>
    </row>
    <row r="114" spans="1:8">
      <c r="A114" s="1281"/>
      <c r="B114" s="500"/>
      <c r="C114" s="500"/>
      <c r="D114" s="493"/>
      <c r="E114" s="494"/>
      <c r="F114" s="494"/>
      <c r="G114" s="493"/>
      <c r="H114" s="493"/>
    </row>
    <row r="115" spans="1:8">
      <c r="A115" s="1281"/>
      <c r="B115" s="500"/>
      <c r="C115" s="500"/>
      <c r="D115" s="493"/>
      <c r="E115" s="494"/>
      <c r="F115" s="494"/>
      <c r="G115" s="493"/>
      <c r="H115" s="493"/>
    </row>
    <row r="116" spans="1:8">
      <c r="A116" s="1281"/>
      <c r="B116" s="500"/>
      <c r="C116" s="500"/>
      <c r="D116" s="493"/>
      <c r="E116" s="494"/>
      <c r="F116" s="494"/>
      <c r="G116" s="493"/>
      <c r="H116" s="493"/>
    </row>
    <row r="117" spans="1:8">
      <c r="A117" s="1281"/>
      <c r="B117" s="500"/>
      <c r="C117" s="500"/>
      <c r="D117" s="493"/>
      <c r="E117" s="494"/>
      <c r="F117" s="494"/>
      <c r="G117" s="493"/>
      <c r="H117" s="493"/>
    </row>
    <row r="118" spans="1:8">
      <c r="A118" s="1281"/>
      <c r="B118" s="500"/>
      <c r="C118" s="500"/>
      <c r="D118" s="493"/>
      <c r="E118" s="494"/>
      <c r="F118" s="494"/>
      <c r="G118" s="493"/>
      <c r="H118" s="493"/>
    </row>
    <row r="119" spans="1:8">
      <c r="A119" s="1281"/>
      <c r="B119" s="500"/>
      <c r="C119" s="500"/>
      <c r="D119" s="493"/>
      <c r="E119" s="494"/>
      <c r="F119" s="494"/>
      <c r="G119" s="493"/>
      <c r="H119" s="493"/>
    </row>
    <row r="120" spans="1:8">
      <c r="A120" s="1281"/>
      <c r="B120" s="500"/>
      <c r="C120" s="500"/>
      <c r="D120" s="493"/>
      <c r="E120" s="494"/>
      <c r="F120" s="494"/>
      <c r="G120" s="493"/>
      <c r="H120" s="493"/>
    </row>
    <row r="121" spans="1:8">
      <c r="A121" s="1281"/>
      <c r="B121" s="500"/>
      <c r="C121" s="500"/>
      <c r="D121" s="493"/>
      <c r="E121" s="494"/>
      <c r="F121" s="494"/>
      <c r="G121" s="493"/>
      <c r="H121" s="493"/>
    </row>
    <row r="122" spans="1:8">
      <c r="A122" s="1281"/>
      <c r="B122" s="500"/>
      <c r="C122" s="500"/>
      <c r="D122" s="493"/>
      <c r="E122" s="494"/>
      <c r="F122" s="494"/>
      <c r="G122" s="493"/>
      <c r="H122" s="493"/>
    </row>
    <row r="123" spans="1:8">
      <c r="A123" s="1281"/>
      <c r="B123" s="500"/>
      <c r="C123" s="500"/>
      <c r="D123" s="493"/>
      <c r="E123" s="494"/>
      <c r="F123" s="494"/>
      <c r="G123" s="493"/>
      <c r="H123" s="493"/>
    </row>
    <row r="124" spans="1:8">
      <c r="A124" s="1281"/>
      <c r="B124" s="500"/>
      <c r="C124" s="500"/>
      <c r="D124" s="493"/>
      <c r="E124" s="494"/>
      <c r="F124" s="494"/>
      <c r="G124" s="493"/>
      <c r="H124" s="493"/>
    </row>
    <row r="125" spans="1:8">
      <c r="A125" s="1281"/>
      <c r="B125" s="500"/>
      <c r="C125" s="500"/>
      <c r="D125" s="493"/>
      <c r="E125" s="494"/>
      <c r="F125" s="494"/>
      <c r="G125" s="493"/>
      <c r="H125" s="493"/>
    </row>
    <row r="126" spans="1:8">
      <c r="A126" s="1281"/>
      <c r="B126" s="500"/>
      <c r="C126" s="500"/>
      <c r="D126" s="493"/>
      <c r="E126" s="494"/>
      <c r="F126" s="494"/>
      <c r="G126" s="493"/>
      <c r="H126" s="493"/>
    </row>
    <row r="127" spans="1:8">
      <c r="A127" s="1281"/>
      <c r="B127" s="500"/>
      <c r="C127" s="500"/>
      <c r="D127" s="493"/>
      <c r="E127" s="494"/>
      <c r="F127" s="494"/>
      <c r="G127" s="493"/>
      <c r="H127" s="493"/>
    </row>
    <row r="128" spans="1:8">
      <c r="A128" s="1281"/>
      <c r="B128" s="500"/>
      <c r="C128" s="500"/>
      <c r="D128" s="493"/>
      <c r="E128" s="494"/>
      <c r="F128" s="494"/>
      <c r="G128" s="493"/>
      <c r="H128" s="493"/>
    </row>
    <row r="129" spans="1:8">
      <c r="A129" s="1281"/>
      <c r="B129" s="500"/>
      <c r="C129" s="500"/>
      <c r="D129" s="493"/>
      <c r="E129" s="494"/>
      <c r="F129" s="494"/>
      <c r="G129" s="493"/>
      <c r="H129" s="493"/>
    </row>
    <row r="130" spans="1:8">
      <c r="A130" s="1281"/>
      <c r="B130" s="500"/>
      <c r="C130" s="500"/>
      <c r="D130" s="493"/>
      <c r="E130" s="494"/>
      <c r="F130" s="494"/>
      <c r="G130" s="493"/>
      <c r="H130" s="493"/>
    </row>
    <row r="131" spans="1:8">
      <c r="A131" s="1281"/>
      <c r="B131" s="500"/>
      <c r="C131" s="500"/>
      <c r="D131" s="493"/>
      <c r="E131" s="494"/>
      <c r="F131" s="494"/>
      <c r="G131" s="493"/>
      <c r="H131" s="493"/>
    </row>
    <row r="132" spans="1:8">
      <c r="A132" s="1281"/>
      <c r="B132" s="500"/>
      <c r="C132" s="500"/>
      <c r="D132" s="493"/>
      <c r="E132" s="494"/>
      <c r="F132" s="494"/>
      <c r="G132" s="493"/>
      <c r="H132" s="493"/>
    </row>
    <row r="133" spans="1:8">
      <c r="A133" s="1281"/>
      <c r="B133" s="500"/>
      <c r="C133" s="500"/>
      <c r="D133" s="493"/>
      <c r="E133" s="494"/>
      <c r="F133" s="494"/>
      <c r="G133" s="493"/>
      <c r="H133" s="493"/>
    </row>
    <row r="134" spans="1:8">
      <c r="A134" s="1281"/>
      <c r="B134" s="500"/>
      <c r="C134" s="500"/>
      <c r="D134" s="493"/>
      <c r="E134" s="494"/>
      <c r="F134" s="494"/>
      <c r="G134" s="493"/>
      <c r="H134" s="493"/>
    </row>
    <row r="135" spans="1:8">
      <c r="A135" s="1281"/>
      <c r="B135" s="500"/>
      <c r="C135" s="500"/>
      <c r="D135" s="493"/>
      <c r="E135" s="494"/>
      <c r="F135" s="494"/>
      <c r="G135" s="493"/>
      <c r="H135" s="493"/>
    </row>
    <row r="136" spans="1:8">
      <c r="A136" s="1281"/>
      <c r="B136" s="500"/>
      <c r="C136" s="500"/>
      <c r="D136" s="493"/>
      <c r="E136" s="494"/>
      <c r="F136" s="494"/>
      <c r="G136" s="493"/>
      <c r="H136" s="493"/>
    </row>
    <row r="137" spans="1:8">
      <c r="A137" s="1281"/>
      <c r="B137" s="500"/>
      <c r="C137" s="500"/>
      <c r="D137" s="493"/>
      <c r="E137" s="494"/>
      <c r="F137" s="494"/>
      <c r="G137" s="493"/>
      <c r="H137" s="493"/>
    </row>
    <row r="138" spans="1:8">
      <c r="A138" s="1281"/>
      <c r="B138" s="500"/>
      <c r="C138" s="500"/>
      <c r="D138" s="493"/>
      <c r="E138" s="494"/>
      <c r="F138" s="494"/>
      <c r="G138" s="493"/>
      <c r="H138" s="493"/>
    </row>
    <row r="139" spans="1:8">
      <c r="A139" s="1281"/>
      <c r="B139" s="500"/>
      <c r="C139" s="500"/>
      <c r="D139" s="493"/>
      <c r="E139" s="494"/>
      <c r="F139" s="494"/>
      <c r="G139" s="493"/>
      <c r="H139" s="493"/>
    </row>
    <row r="140" spans="1:8">
      <c r="A140" s="1281"/>
      <c r="B140" s="500"/>
      <c r="C140" s="500"/>
      <c r="D140" s="493"/>
      <c r="E140" s="494"/>
      <c r="F140" s="494"/>
      <c r="G140" s="493"/>
      <c r="H140" s="493"/>
    </row>
    <row r="141" spans="1:8">
      <c r="A141" s="1281"/>
      <c r="B141" s="500"/>
      <c r="C141" s="500"/>
      <c r="D141" s="493"/>
      <c r="E141" s="494"/>
      <c r="F141" s="494"/>
      <c r="G141" s="493"/>
      <c r="H141" s="493"/>
    </row>
    <row r="142" spans="1:8">
      <c r="A142" s="1281"/>
      <c r="B142" s="500"/>
      <c r="C142" s="500"/>
      <c r="D142" s="493"/>
      <c r="E142" s="494"/>
      <c r="F142" s="494"/>
      <c r="G142" s="493"/>
      <c r="H142" s="493"/>
    </row>
    <row r="143" spans="1:8">
      <c r="A143" s="1281"/>
      <c r="B143" s="500"/>
      <c r="C143" s="500"/>
      <c r="D143" s="493"/>
      <c r="E143" s="494"/>
      <c r="F143" s="494"/>
      <c r="G143" s="493"/>
      <c r="H143" s="493"/>
    </row>
    <row r="144" spans="1:8">
      <c r="A144" s="1281"/>
      <c r="B144" s="500"/>
      <c r="C144" s="500"/>
      <c r="D144" s="493"/>
      <c r="E144" s="494"/>
      <c r="F144" s="494"/>
      <c r="G144" s="493"/>
      <c r="H144" s="493"/>
    </row>
    <row r="145" spans="1:8">
      <c r="A145" s="1281"/>
      <c r="B145" s="500"/>
      <c r="C145" s="500"/>
      <c r="D145" s="493"/>
      <c r="E145" s="494"/>
      <c r="F145" s="494"/>
      <c r="G145" s="493"/>
      <c r="H145" s="493"/>
    </row>
    <row r="146" spans="1:8">
      <c r="A146" s="1281"/>
      <c r="B146" s="500"/>
      <c r="C146" s="500"/>
      <c r="D146" s="493"/>
      <c r="E146" s="494"/>
      <c r="F146" s="494"/>
      <c r="G146" s="493"/>
      <c r="H146" s="493"/>
    </row>
    <row r="147" spans="1:8">
      <c r="A147" s="1281"/>
      <c r="B147" s="500"/>
      <c r="C147" s="500"/>
      <c r="D147" s="493"/>
      <c r="E147" s="494"/>
      <c r="F147" s="494"/>
      <c r="G147" s="493"/>
      <c r="H147" s="493"/>
    </row>
    <row r="148" spans="1:8">
      <c r="A148" s="1281"/>
      <c r="B148" s="500"/>
      <c r="C148" s="500"/>
      <c r="D148" s="493"/>
      <c r="E148" s="494"/>
      <c r="F148" s="494"/>
      <c r="G148" s="493"/>
      <c r="H148" s="493"/>
    </row>
    <row r="149" spans="1:8">
      <c r="A149" s="1281"/>
      <c r="B149" s="500"/>
      <c r="C149" s="500"/>
      <c r="D149" s="493"/>
      <c r="E149" s="494"/>
      <c r="F149" s="494"/>
      <c r="G149" s="493"/>
      <c r="H149" s="493"/>
    </row>
    <row r="150" spans="1:8">
      <c r="A150" s="1281"/>
      <c r="B150" s="500"/>
      <c r="C150" s="500"/>
      <c r="D150" s="493"/>
      <c r="E150" s="494"/>
      <c r="F150" s="494"/>
      <c r="G150" s="493"/>
      <c r="H150" s="493"/>
    </row>
    <row r="151" spans="1:8">
      <c r="A151" s="1281"/>
      <c r="B151" s="500"/>
      <c r="C151" s="500"/>
      <c r="D151" s="493"/>
      <c r="E151" s="494"/>
      <c r="F151" s="494"/>
      <c r="G151" s="493"/>
      <c r="H151" s="493"/>
    </row>
    <row r="152" spans="1:8">
      <c r="A152" s="1281"/>
      <c r="B152" s="500"/>
      <c r="C152" s="500"/>
      <c r="D152" s="493"/>
      <c r="E152" s="494"/>
      <c r="F152" s="494"/>
      <c r="G152" s="493"/>
      <c r="H152" s="493"/>
    </row>
    <row r="153" spans="1:8">
      <c r="A153" s="1281"/>
      <c r="B153" s="500"/>
      <c r="C153" s="500"/>
      <c r="D153" s="493"/>
      <c r="E153" s="494"/>
      <c r="F153" s="494"/>
      <c r="G153" s="493"/>
      <c r="H153" s="493"/>
    </row>
    <row r="154" spans="1:8">
      <c r="A154" s="1281"/>
      <c r="B154" s="500"/>
      <c r="C154" s="500"/>
      <c r="D154" s="493"/>
      <c r="E154" s="494"/>
      <c r="F154" s="494"/>
      <c r="G154" s="493"/>
      <c r="H154" s="493"/>
    </row>
    <row r="155" spans="1:8">
      <c r="A155" s="1281"/>
      <c r="B155" s="500"/>
      <c r="C155" s="500"/>
      <c r="D155" s="493"/>
      <c r="E155" s="494"/>
      <c r="F155" s="494"/>
      <c r="G155" s="493"/>
      <c r="H155" s="493"/>
    </row>
    <row r="156" spans="1:8">
      <c r="A156" s="1281"/>
      <c r="B156" s="500"/>
      <c r="C156" s="500"/>
      <c r="D156" s="493"/>
      <c r="E156" s="494"/>
      <c r="F156" s="494"/>
      <c r="G156" s="493"/>
      <c r="H156" s="493"/>
    </row>
    <row r="157" spans="1:8">
      <c r="A157" s="1281"/>
      <c r="B157" s="500"/>
      <c r="C157" s="500"/>
      <c r="D157" s="493"/>
      <c r="E157" s="494"/>
      <c r="F157" s="494"/>
      <c r="G157" s="493"/>
      <c r="H157" s="493"/>
    </row>
    <row r="158" spans="1:8">
      <c r="A158" s="1281"/>
      <c r="B158" s="500"/>
      <c r="C158" s="500"/>
      <c r="D158" s="493"/>
      <c r="E158" s="494"/>
      <c r="F158" s="494"/>
      <c r="G158" s="493"/>
      <c r="H158" s="493"/>
    </row>
    <row r="159" spans="1:8">
      <c r="A159" s="1281"/>
      <c r="B159" s="500"/>
      <c r="C159" s="500"/>
      <c r="D159" s="493"/>
      <c r="E159" s="494"/>
      <c r="F159" s="494"/>
      <c r="G159" s="493"/>
      <c r="H159" s="493"/>
    </row>
    <row r="160" spans="1:8">
      <c r="A160" s="1281"/>
      <c r="B160" s="500"/>
      <c r="C160" s="500"/>
      <c r="D160" s="493"/>
      <c r="E160" s="494"/>
      <c r="F160" s="494"/>
      <c r="G160" s="493"/>
      <c r="H160" s="493"/>
    </row>
    <row r="161" spans="1:8">
      <c r="A161" s="1281"/>
      <c r="B161" s="500"/>
      <c r="C161" s="500"/>
      <c r="D161" s="493"/>
      <c r="E161" s="494"/>
      <c r="F161" s="494"/>
      <c r="G161" s="493"/>
      <c r="H161" s="493"/>
    </row>
  </sheetData>
  <sheetProtection password="C7D8" sheet="1" objects="1" scenarios="1"/>
  <mergeCells count="13">
    <mergeCell ref="B89:I89"/>
    <mergeCell ref="A58:A60"/>
    <mergeCell ref="A1:G1"/>
    <mergeCell ref="B86:H86"/>
    <mergeCell ref="A2:B2"/>
    <mergeCell ref="C6:E7"/>
    <mergeCell ref="F9:H9"/>
    <mergeCell ref="B84:H84"/>
    <mergeCell ref="B85:H85"/>
    <mergeCell ref="A13:A14"/>
    <mergeCell ref="A15:A16"/>
    <mergeCell ref="B87:H87"/>
    <mergeCell ref="B88:H88"/>
  </mergeCells>
  <phoneticPr fontId="4" type="noConversion"/>
  <dataValidations disablePrompts="1" count="2">
    <dataValidation allowBlank="1" showInputMessage="1" showErrorMessage="1" promptTitle="NHS board selected" prompt="'Select Health board' will change to NHS board selected in STEP 1.  Costs are based on the NHS board selected in step 1. " sqref="F6"/>
    <dataValidation allowBlank="1" showInputMessage="1" showErrorMessage="1" promptTitle="Notes" prompt="_x000a_Click on a number below to be provided with a information relating to the corresponding part of the model." sqref="A8"/>
  </dataValidations>
  <hyperlinks>
    <hyperlink ref="A11" location="'STEP 2. Gestational diabetes'!A84" display="'STEP 2. Gestational diabetes'!A84"/>
    <hyperlink ref="A13" location="'STEP 2. Gestational diabetes'!A85" display="'STEP 2. Gestational diabetes'!A85"/>
    <hyperlink ref="A15:A16" location="'STEP 2. Gestational diabetes'!A86" display="'STEP 2. Gestational diabetes'!A86"/>
    <hyperlink ref="A27" location="'STEP 2. Gestational diabetes'!A87" display="'STEP 2. Gestational diabetes'!A87"/>
    <hyperlink ref="B87:H87" location="'GDM Unit costs'!A1" display="Details of unit costs for tests are provided on the worksheet entitled 'GDM Unit costs'."/>
    <hyperlink ref="A28" location="'STEP 2. Gestational diabetes'!A88" display="'STEP 2. Gestational diabetes'!A88"/>
    <hyperlink ref="A58" location="'STEP 2. Gestational diabetes'!A89" display="'STEP 2. Gestational diabetes'!A89"/>
  </hyperlinks>
  <pageMargins left="0.75" right="0.75" top="1" bottom="1" header="0.5" footer="0.5"/>
  <pageSetup paperSize="8" scale="60" orientation="portrait" r:id="rId1"/>
  <headerFooter alignWithMargins="0"/>
  <ignoredErrors>
    <ignoredError sqref="G11 F78:G78 G18 G24:G25 F27:G27 F30:H30 G28 F32:G32 F67:F70 G31 F34 G22 F36 F45 G36:G37 G58:G60 F73:F74 F76 G13:G17 G33:G35" unlockedFormula="1"/>
    <ignoredError sqref="G23" formula="1" unlockedFormula="1"/>
  </ignoredErrors>
  <drawing r:id="rId2"/>
</worksheet>
</file>

<file path=xl/worksheets/sheet14.xml><?xml version="1.0" encoding="utf-8"?>
<worksheet xmlns="http://schemas.openxmlformats.org/spreadsheetml/2006/main" xmlns:r="http://schemas.openxmlformats.org/officeDocument/2006/relationships">
  <sheetPr codeName="Sheet6">
    <pageSetUpPr autoPageBreaks="0"/>
  </sheetPr>
  <dimension ref="A1:B46"/>
  <sheetViews>
    <sheetView showGridLines="0" showRowColHeaders="0" topLeftCell="A13" workbookViewId="0">
      <selection activeCell="B12" sqref="B12"/>
    </sheetView>
  </sheetViews>
  <sheetFormatPr defaultRowHeight="15"/>
  <cols>
    <col min="1" max="1" width="33.33203125" style="332" customWidth="1"/>
    <col min="2" max="16384" width="8.88671875" style="332"/>
  </cols>
  <sheetData>
    <row r="1" spans="1:2" ht="18">
      <c r="A1" s="1168" t="s">
        <v>112</v>
      </c>
    </row>
    <row r="2" spans="1:2" ht="15.75" thickBot="1"/>
    <row r="3" spans="1:2" ht="15.75">
      <c r="A3" s="1449" t="s">
        <v>821</v>
      </c>
      <c r="B3" s="1450"/>
    </row>
    <row r="4" spans="1:2">
      <c r="A4" s="972" t="s">
        <v>822</v>
      </c>
      <c r="B4" s="973" t="s">
        <v>784</v>
      </c>
    </row>
    <row r="5" spans="1:2" ht="41.25" customHeight="1">
      <c r="A5" s="974" t="s">
        <v>823</v>
      </c>
      <c r="B5" s="1243">
        <v>1.1399999999999999</v>
      </c>
    </row>
    <row r="6" spans="1:2">
      <c r="A6" s="974" t="s">
        <v>819</v>
      </c>
      <c r="B6" s="989">
        <v>0.3</v>
      </c>
    </row>
    <row r="7" spans="1:2">
      <c r="A7" s="974" t="s">
        <v>820</v>
      </c>
      <c r="B7" s="989">
        <v>16.87</v>
      </c>
    </row>
    <row r="8" spans="1:2" ht="15.75">
      <c r="A8" s="975" t="s">
        <v>824</v>
      </c>
      <c r="B8" s="990">
        <f>SUM($B$5:$B$7)</f>
        <v>18.310000000000002</v>
      </c>
    </row>
    <row r="9" spans="1:2">
      <c r="A9" s="974" t="s">
        <v>812</v>
      </c>
      <c r="B9" s="989">
        <v>1.5</v>
      </c>
    </row>
    <row r="10" spans="1:2">
      <c r="A10" s="974" t="s">
        <v>814</v>
      </c>
      <c r="B10" s="989">
        <v>1.85</v>
      </c>
    </row>
    <row r="11" spans="1:2">
      <c r="A11" s="974" t="s">
        <v>819</v>
      </c>
      <c r="B11" s="989">
        <v>0.3</v>
      </c>
    </row>
    <row r="12" spans="1:2" ht="16.5" thickBot="1">
      <c r="A12" s="976" t="s">
        <v>825</v>
      </c>
      <c r="B12" s="991">
        <f>SUM($B$9:$B$11)</f>
        <v>3.65</v>
      </c>
    </row>
    <row r="14" spans="1:2" ht="15.75" thickBot="1"/>
    <row r="15" spans="1:2" ht="15.75">
      <c r="A15" s="1449" t="s">
        <v>9</v>
      </c>
      <c r="B15" s="1450"/>
    </row>
    <row r="16" spans="1:2">
      <c r="A16" s="977"/>
      <c r="B16" s="978"/>
    </row>
    <row r="17" spans="1:2">
      <c r="A17" s="979" t="s">
        <v>103</v>
      </c>
      <c r="B17" s="980"/>
    </row>
    <row r="18" spans="1:2">
      <c r="A18" s="981" t="s">
        <v>10</v>
      </c>
      <c r="B18" s="992">
        <v>5.63</v>
      </c>
    </row>
    <row r="19" spans="1:2">
      <c r="A19" s="981" t="s">
        <v>11</v>
      </c>
      <c r="B19" s="992">
        <v>11.4</v>
      </c>
    </row>
    <row r="20" spans="1:2">
      <c r="A20" s="981" t="s">
        <v>12</v>
      </c>
      <c r="B20" s="992">
        <v>97.79</v>
      </c>
    </row>
    <row r="21" spans="1:2" ht="15.75">
      <c r="A21" s="982" t="s">
        <v>13</v>
      </c>
      <c r="B21" s="993">
        <f>SUM($B$18:$B$20)</f>
        <v>114.82000000000001</v>
      </c>
    </row>
    <row r="22" spans="1:2">
      <c r="A22" s="979" t="s">
        <v>104</v>
      </c>
      <c r="B22" s="983"/>
    </row>
    <row r="23" spans="1:2">
      <c r="A23" s="981" t="s">
        <v>14</v>
      </c>
      <c r="B23" s="992">
        <v>3.09</v>
      </c>
    </row>
    <row r="24" spans="1:2" ht="30">
      <c r="A24" s="981" t="s">
        <v>15</v>
      </c>
      <c r="B24" s="992">
        <v>60.95</v>
      </c>
    </row>
    <row r="25" spans="1:2" ht="15.75" thickBot="1">
      <c r="A25" s="984" t="s">
        <v>16</v>
      </c>
      <c r="B25" s="994">
        <v>3.37</v>
      </c>
    </row>
    <row r="27" spans="1:2" ht="15.75" thickBot="1"/>
    <row r="28" spans="1:2">
      <c r="A28" s="985" t="s">
        <v>720</v>
      </c>
      <c r="B28" s="986"/>
    </row>
    <row r="29" spans="1:2">
      <c r="A29" s="452" t="s">
        <v>727</v>
      </c>
      <c r="B29" s="965">
        <v>0.19</v>
      </c>
    </row>
    <row r="30" spans="1:2">
      <c r="A30" s="857" t="s">
        <v>717</v>
      </c>
      <c r="B30" s="965">
        <v>0.01</v>
      </c>
    </row>
    <row r="31" spans="1:2">
      <c r="A31" s="857" t="s">
        <v>718</v>
      </c>
      <c r="B31" s="965">
        <v>0.05</v>
      </c>
    </row>
    <row r="32" spans="1:2">
      <c r="A32" s="857" t="s">
        <v>721</v>
      </c>
      <c r="B32" s="965">
        <v>0.09</v>
      </c>
    </row>
    <row r="33" spans="1:2" ht="15.75" thickBot="1">
      <c r="A33" s="995" t="s">
        <v>719</v>
      </c>
      <c r="B33" s="996">
        <f>SUM($B$29:$B$32)</f>
        <v>0.33999999999999997</v>
      </c>
    </row>
    <row r="34" spans="1:2">
      <c r="A34" s="440"/>
      <c r="B34" s="966"/>
    </row>
    <row r="35" spans="1:2" ht="38.25">
      <c r="A35" s="987" t="s">
        <v>734</v>
      </c>
      <c r="B35" s="967">
        <v>0.4</v>
      </c>
    </row>
    <row r="36" spans="1:2" ht="38.25">
      <c r="A36" s="452" t="s">
        <v>735</v>
      </c>
      <c r="B36" s="967">
        <v>0.32</v>
      </c>
    </row>
    <row r="37" spans="1:2" ht="38.25">
      <c r="A37" s="452" t="s">
        <v>775</v>
      </c>
      <c r="B37" s="967">
        <v>0.17</v>
      </c>
    </row>
    <row r="38" spans="1:2">
      <c r="A38" s="452" t="s">
        <v>733</v>
      </c>
      <c r="B38" s="967">
        <v>0.11</v>
      </c>
    </row>
    <row r="39" spans="1:2">
      <c r="A39" s="452" t="s">
        <v>781</v>
      </c>
      <c r="B39" s="968">
        <v>0.161</v>
      </c>
    </row>
    <row r="40" spans="1:2" ht="25.5">
      <c r="A40" s="452" t="s">
        <v>830</v>
      </c>
      <c r="B40" s="968">
        <v>6.6721424485545397E-2</v>
      </c>
    </row>
    <row r="41" spans="1:2">
      <c r="A41" s="28" t="s">
        <v>782</v>
      </c>
      <c r="B41" s="968">
        <v>0.56759727412618155</v>
      </c>
    </row>
    <row r="42" spans="1:2" ht="25.5">
      <c r="A42" s="452" t="s">
        <v>831</v>
      </c>
      <c r="B42" s="969">
        <v>4.5438396608965169E-2</v>
      </c>
    </row>
    <row r="43" spans="1:2">
      <c r="A43" s="446" t="s">
        <v>783</v>
      </c>
      <c r="B43" s="970">
        <v>0.36964141277972501</v>
      </c>
    </row>
    <row r="44" spans="1:2">
      <c r="A44" s="452" t="s">
        <v>845</v>
      </c>
      <c r="B44" s="967">
        <v>0.65</v>
      </c>
    </row>
    <row r="45" spans="1:2">
      <c r="A45" s="452" t="s">
        <v>2</v>
      </c>
      <c r="B45" s="967">
        <v>0.2</v>
      </c>
    </row>
    <row r="46" spans="1:2" ht="15.75" thickBot="1">
      <c r="A46" s="988" t="s">
        <v>3</v>
      </c>
      <c r="B46" s="971">
        <v>0.15</v>
      </c>
    </row>
  </sheetData>
  <sheetProtection password="C7D8" sheet="1" objects="1" scenarios="1"/>
  <mergeCells count="2">
    <mergeCell ref="A3:B3"/>
    <mergeCell ref="A15:B15"/>
  </mergeCells>
  <phoneticPr fontId="4" type="noConversion"/>
  <pageMargins left="0.75" right="0.75" top="1" bottom="1" header="0.5" footer="0.5"/>
  <pageSetup paperSize="9" orientation="portrait" horizontalDpi="200" verticalDpi="200" r:id="rId1"/>
  <headerFooter alignWithMargins="0"/>
  <ignoredErrors>
    <ignoredError sqref="B33 B8 B12 B21" unlockedFormula="1"/>
  </ignoredErrors>
</worksheet>
</file>

<file path=xl/worksheets/sheet15.xml><?xml version="1.0" encoding="utf-8"?>
<worksheet xmlns="http://schemas.openxmlformats.org/spreadsheetml/2006/main" xmlns:r="http://schemas.openxmlformats.org/officeDocument/2006/relationships">
  <sheetPr codeName="Sheet20" enableFormatConditionsCalculation="0">
    <tabColor indexed="34"/>
    <pageSetUpPr autoPageBreaks="0" fitToPage="1"/>
  </sheetPr>
  <dimension ref="A1:W99"/>
  <sheetViews>
    <sheetView showGridLines="0" showRowColHeaders="0" workbookViewId="0">
      <pane ySplit="8" topLeftCell="A9" activePane="bottomLeft" state="frozen"/>
      <selection pane="bottomLeft" activeCell="B43" sqref="B43"/>
    </sheetView>
  </sheetViews>
  <sheetFormatPr defaultRowHeight="15"/>
  <cols>
    <col min="1" max="1" width="5" style="334" customWidth="1"/>
    <col min="2" max="2" width="44.5546875" style="280" customWidth="1"/>
    <col min="3" max="3" width="10.5546875" style="334" customWidth="1"/>
    <col min="4" max="4" width="9.88671875" style="334" customWidth="1"/>
    <col min="5" max="5" width="12.5546875" style="334" customWidth="1"/>
    <col min="6" max="6" width="12.88671875" style="334" customWidth="1"/>
    <col min="7" max="7" width="10.33203125" style="334" customWidth="1"/>
    <col min="8" max="8" width="12.21875" style="334" customWidth="1"/>
    <col min="9" max="9" width="8.88671875" style="332"/>
    <col min="10" max="10" width="3.77734375" style="332" customWidth="1"/>
    <col min="11" max="11" width="5.77734375" style="332" customWidth="1"/>
    <col min="12" max="12" width="6.5546875" style="332" customWidth="1"/>
    <col min="13" max="13" width="6.21875" style="332" customWidth="1"/>
    <col min="14" max="14" width="7.21875" style="332" customWidth="1"/>
    <col min="15" max="15" width="5.33203125" style="332" customWidth="1"/>
    <col min="16" max="16" width="4.88671875" style="332" customWidth="1"/>
    <col min="17" max="17" width="6.109375" style="332" customWidth="1"/>
    <col min="18" max="18" width="6.5546875" style="332" customWidth="1"/>
    <col min="19" max="19" width="5.21875" style="332" customWidth="1"/>
    <col min="20" max="20" width="4.44140625" style="332" customWidth="1"/>
    <col min="21" max="21" width="5.77734375" style="332" customWidth="1"/>
    <col min="22" max="22" width="6.109375" style="332" customWidth="1"/>
    <col min="23" max="16384" width="8.88671875" style="332"/>
  </cols>
  <sheetData>
    <row r="1" spans="1:8" ht="80.099999999999994" customHeight="1">
      <c r="A1" s="1307" t="s">
        <v>799</v>
      </c>
      <c r="B1" s="1307"/>
      <c r="C1" s="1307"/>
      <c r="D1" s="1307"/>
      <c r="E1" s="1307"/>
      <c r="F1" s="1307"/>
      <c r="G1" s="1307"/>
      <c r="H1" s="331"/>
    </row>
    <row r="2" spans="1:8" ht="15.75">
      <c r="A2" s="1364" t="s">
        <v>679</v>
      </c>
      <c r="B2" s="1364"/>
    </row>
    <row r="3" spans="1:8" ht="25.5" customHeight="1">
      <c r="A3" s="622"/>
      <c r="B3" s="338"/>
      <c r="C3" s="338"/>
      <c r="D3" s="338"/>
      <c r="E3" s="338"/>
      <c r="F3" s="338"/>
      <c r="G3" s="338"/>
      <c r="H3" s="338"/>
    </row>
    <row r="4" spans="1:8" ht="32.25" thickBot="1">
      <c r="B4" s="341" t="s">
        <v>681</v>
      </c>
    </row>
    <row r="5" spans="1:8" ht="28.5" customHeight="1" thickTop="1">
      <c r="B5" s="341" t="s">
        <v>680</v>
      </c>
      <c r="C5" s="1365" t="s">
        <v>688</v>
      </c>
      <c r="D5" s="1347"/>
      <c r="E5" s="1366"/>
      <c r="F5" s="361" t="str">
        <f>'STEP 1.Select NHS Board'!B7</f>
        <v>Select NHS board</v>
      </c>
      <c r="G5" s="282"/>
      <c r="H5" s="362"/>
    </row>
    <row r="6" spans="1:8" ht="15.75" thickBot="1">
      <c r="C6" s="363"/>
      <c r="D6" s="346"/>
      <c r="E6" s="364"/>
      <c r="F6" s="346"/>
      <c r="G6" s="346"/>
      <c r="H6" s="365"/>
    </row>
    <row r="7" spans="1:8" ht="27" customHeight="1" thickTop="1" thickBot="1">
      <c r="A7" s="1251" t="s">
        <v>682</v>
      </c>
      <c r="B7" s="351"/>
      <c r="C7" s="366"/>
      <c r="D7" s="353"/>
      <c r="E7" s="367"/>
      <c r="F7" s="1344" t="s">
        <v>684</v>
      </c>
      <c r="G7" s="1344"/>
      <c r="H7" s="1345"/>
    </row>
    <row r="8" spans="1:8">
      <c r="A8" s="275"/>
      <c r="B8" s="229"/>
      <c r="C8" s="368" t="s">
        <v>815</v>
      </c>
      <c r="D8" s="231" t="s">
        <v>816</v>
      </c>
      <c r="E8" s="369" t="s">
        <v>817</v>
      </c>
      <c r="F8" s="370" t="s">
        <v>815</v>
      </c>
      <c r="G8" s="231" t="s">
        <v>816</v>
      </c>
      <c r="H8" s="371" t="s">
        <v>817</v>
      </c>
    </row>
    <row r="9" spans="1:8">
      <c r="A9" s="275"/>
      <c r="B9" s="237"/>
      <c r="C9" s="577"/>
      <c r="D9" s="227"/>
      <c r="E9" s="373"/>
      <c r="F9" s="374"/>
      <c r="G9" s="227"/>
      <c r="H9" s="375"/>
    </row>
    <row r="10" spans="1:8">
      <c r="A10" s="1270">
        <v>1</v>
      </c>
      <c r="B10" s="244" t="s">
        <v>747</v>
      </c>
      <c r="C10" s="578"/>
      <c r="D10" s="377">
        <f>'STEP 1.Select NHS Board'!$B$25</f>
        <v>228004</v>
      </c>
      <c r="E10" s="378"/>
      <c r="F10" s="377"/>
      <c r="G10" s="298">
        <f>+IF($F$5="Select NHS board",0,VLOOKUP($F$5,'STEP 1.Select NHS Board'!$A$11:$Z$25,2,0))</f>
        <v>0</v>
      </c>
      <c r="H10" s="379"/>
    </row>
    <row r="11" spans="1:8" ht="25.5">
      <c r="A11" s="1271">
        <v>2</v>
      </c>
      <c r="B11" s="244" t="s">
        <v>748</v>
      </c>
      <c r="C11" s="578"/>
      <c r="D11" s="377">
        <f>'STEP 1.Select NHS Board'!$R$25</f>
        <v>1026</v>
      </c>
      <c r="E11" s="378"/>
      <c r="F11" s="377"/>
      <c r="G11" s="298">
        <f>+IF($F$5="Select NHS board",0,VLOOKUP($F$5,'STEP 1.Select NHS Board'!$A$11:$Z$25,18,0))</f>
        <v>0</v>
      </c>
      <c r="H11" s="379"/>
    </row>
    <row r="12" spans="1:8" ht="25.5">
      <c r="A12" s="275"/>
      <c r="B12" s="244" t="s">
        <v>749</v>
      </c>
      <c r="C12" s="578"/>
      <c r="D12" s="377">
        <f>'STEP 1.Select NHS Board'!$S$25</f>
        <v>20445</v>
      </c>
      <c r="E12" s="378"/>
      <c r="F12" s="377"/>
      <c r="G12" s="298">
        <f>+IF($F$5="Select NHS board",0,VLOOKUP($F$5,'STEP 1.Select NHS Board'!$A$11:$Z$25,19,0))</f>
        <v>0</v>
      </c>
      <c r="H12" s="379"/>
    </row>
    <row r="13" spans="1:8" ht="26.25" thickBot="1">
      <c r="A13" s="275"/>
      <c r="B13" s="244" t="s">
        <v>750</v>
      </c>
      <c r="C13" s="579"/>
      <c r="D13" s="580">
        <f>$D$11+$D$12</f>
        <v>21471</v>
      </c>
      <c r="E13" s="581"/>
      <c r="F13" s="416"/>
      <c r="G13" s="580">
        <f>$G$11+$G$12</f>
        <v>0</v>
      </c>
      <c r="H13" s="379"/>
    </row>
    <row r="14" spans="1:8" ht="12.75" customHeight="1" thickTop="1">
      <c r="A14" s="275"/>
      <c r="B14" s="244"/>
      <c r="C14" s="579"/>
      <c r="D14" s="416"/>
      <c r="E14" s="581"/>
      <c r="F14" s="416"/>
      <c r="G14" s="417"/>
      <c r="H14" s="379"/>
    </row>
    <row r="15" spans="1:8" ht="25.5">
      <c r="A15" s="1271">
        <v>3</v>
      </c>
      <c r="B15" s="244" t="s">
        <v>751</v>
      </c>
      <c r="C15" s="578"/>
      <c r="D15" s="377">
        <f>'STEP 1.Select NHS Board'!$U$25</f>
        <v>736</v>
      </c>
      <c r="E15" s="378"/>
      <c r="F15" s="377"/>
      <c r="G15" s="298">
        <f>+IF($F$5="Select NHS board",0,VLOOKUP($F$5,'STEP 1.Select NHS Board'!$A$11:$Z$25,21,0))</f>
        <v>0</v>
      </c>
      <c r="H15" s="379"/>
    </row>
    <row r="16" spans="1:8" ht="25.5">
      <c r="A16" s="275"/>
      <c r="B16" s="244" t="s">
        <v>752</v>
      </c>
      <c r="C16" s="579"/>
      <c r="D16" s="416">
        <f>'STEP 1.Select NHS Board'!$V$25</f>
        <v>13584</v>
      </c>
      <c r="E16" s="378"/>
      <c r="F16" s="416"/>
      <c r="G16" s="298">
        <f>+IF($F$5="Select NHS board",0,VLOOKUP($F$5,'STEP 1.Select NHS Board'!$A$11:$Z$25,22,0))</f>
        <v>0</v>
      </c>
      <c r="H16" s="379"/>
    </row>
    <row r="17" spans="1:8" ht="26.25" thickBot="1">
      <c r="A17" s="275"/>
      <c r="B17" s="244" t="s">
        <v>753</v>
      </c>
      <c r="C17" s="579"/>
      <c r="D17" s="580">
        <f>$D$15+$D$16</f>
        <v>14320</v>
      </c>
      <c r="E17" s="378"/>
      <c r="F17" s="416"/>
      <c r="G17" s="631">
        <f>$G$15+$G$16</f>
        <v>0</v>
      </c>
      <c r="H17" s="379"/>
    </row>
    <row r="18" spans="1:8" ht="16.5" thickTop="1" thickBot="1">
      <c r="A18" s="275"/>
      <c r="B18" s="244" t="s">
        <v>210</v>
      </c>
      <c r="C18" s="578"/>
      <c r="D18" s="580">
        <f>$D$13+$D$17</f>
        <v>35791</v>
      </c>
      <c r="E18" s="378"/>
      <c r="F18" s="377"/>
      <c r="G18" s="580">
        <f>$G$13+$G$17</f>
        <v>0</v>
      </c>
      <c r="H18" s="379"/>
    </row>
    <row r="19" spans="1:8" ht="10.5" customHeight="1" thickTop="1">
      <c r="A19" s="275"/>
      <c r="B19" s="582"/>
      <c r="C19" s="583"/>
      <c r="D19" s="416"/>
      <c r="E19" s="378"/>
      <c r="F19" s="377"/>
      <c r="G19" s="416"/>
      <c r="H19" s="379"/>
    </row>
    <row r="20" spans="1:8">
      <c r="A20" s="1271">
        <v>4</v>
      </c>
      <c r="B20" s="582" t="s">
        <v>754</v>
      </c>
      <c r="C20" s="583"/>
      <c r="D20" s="377">
        <f>'STEP 1.Select NHS Board'!$Y$25</f>
        <v>349.88499999999993</v>
      </c>
      <c r="E20" s="584"/>
      <c r="F20" s="376"/>
      <c r="G20" s="298">
        <f>+IF($F$5="Select NHS board",0,VLOOKUP($F$5,'STEP 1.Select NHS Board'!$A$11:$Z$25,25,0))</f>
        <v>0</v>
      </c>
      <c r="H20" s="379"/>
    </row>
    <row r="21" spans="1:8" ht="7.5" customHeight="1">
      <c r="A21" s="275"/>
      <c r="B21" s="582"/>
      <c r="C21" s="583"/>
      <c r="D21" s="377"/>
      <c r="E21" s="584"/>
      <c r="F21" s="376"/>
      <c r="G21" s="260"/>
      <c r="H21" s="379"/>
    </row>
    <row r="22" spans="1:8">
      <c r="A22" s="275"/>
      <c r="B22" s="582" t="s">
        <v>755</v>
      </c>
      <c r="C22" s="583"/>
      <c r="D22" s="377">
        <f>'STEP 1.Select NHS Board'!$Z$25</f>
        <v>36140.885000000002</v>
      </c>
      <c r="E22" s="584"/>
      <c r="F22" s="376"/>
      <c r="G22" s="298">
        <f>+IF($F$5="Select NHS board",0,VLOOKUP($F$5,'STEP 1.Select NHS Board'!$A$11:$Z$25,26,0))</f>
        <v>0</v>
      </c>
      <c r="H22" s="379"/>
    </row>
    <row r="23" spans="1:8">
      <c r="B23" s="585" t="s">
        <v>756</v>
      </c>
      <c r="C23" s="586"/>
      <c r="D23" s="263"/>
      <c r="E23" s="308"/>
      <c r="F23" s="389"/>
      <c r="G23" s="263"/>
      <c r="H23" s="309"/>
    </row>
    <row r="24" spans="1:8">
      <c r="A24" s="1275"/>
      <c r="B24" s="585" t="s">
        <v>763</v>
      </c>
      <c r="C24" s="587"/>
      <c r="D24" s="588">
        <f>'Unit £s Lipid-lowering therapy'!$B$5</f>
        <v>0.03</v>
      </c>
      <c r="E24" s="589"/>
      <c r="F24" s="389"/>
      <c r="G24" s="301">
        <f>'Unit £s Lipid-lowering therapy'!$B$5</f>
        <v>0.03</v>
      </c>
      <c r="H24" s="590"/>
    </row>
    <row r="25" spans="1:8">
      <c r="B25" s="585" t="s">
        <v>764</v>
      </c>
      <c r="C25" s="587"/>
      <c r="D25" s="591">
        <f>$D$22*$D$24</f>
        <v>1084.2265500000001</v>
      </c>
      <c r="E25" s="589"/>
      <c r="F25" s="389"/>
      <c r="G25" s="1244">
        <f>$G$22*$G$24</f>
        <v>0</v>
      </c>
      <c r="H25" s="590"/>
    </row>
    <row r="26" spans="1:8">
      <c r="B26" s="585" t="s">
        <v>765</v>
      </c>
      <c r="C26" s="587"/>
      <c r="D26" s="588">
        <f>'Unit £s Lipid-lowering therapy'!$B$6</f>
        <v>0.04</v>
      </c>
      <c r="E26" s="589"/>
      <c r="F26" s="389"/>
      <c r="G26" s="301">
        <f>'Unit £s Lipid-lowering therapy'!$B$6</f>
        <v>0.04</v>
      </c>
      <c r="H26" s="590"/>
    </row>
    <row r="27" spans="1:8">
      <c r="B27" s="229" t="s">
        <v>757</v>
      </c>
      <c r="C27" s="577"/>
      <c r="D27" s="591">
        <f>$D$22*$D$26</f>
        <v>1445.6354000000001</v>
      </c>
      <c r="E27" s="589"/>
      <c r="F27" s="389"/>
      <c r="G27" s="1244">
        <f>$G$22*$G$26</f>
        <v>0</v>
      </c>
      <c r="H27" s="590"/>
    </row>
    <row r="28" spans="1:8">
      <c r="B28" s="229" t="s">
        <v>758</v>
      </c>
      <c r="C28" s="577"/>
      <c r="D28" s="588">
        <f>$D$24+$D$26</f>
        <v>7.0000000000000007E-2</v>
      </c>
      <c r="E28" s="589"/>
      <c r="F28" s="389"/>
      <c r="G28" s="492">
        <f>$G$24+$G$26</f>
        <v>7.0000000000000007E-2</v>
      </c>
      <c r="H28" s="590"/>
    </row>
    <row r="29" spans="1:8" ht="15.75" thickBot="1">
      <c r="B29" s="585" t="s">
        <v>766</v>
      </c>
      <c r="C29" s="587"/>
      <c r="D29" s="592">
        <f>$D$22-$D$25-$D$27</f>
        <v>33611.023050000003</v>
      </c>
      <c r="E29" s="589"/>
      <c r="F29" s="389"/>
      <c r="G29" s="632">
        <f>ROUNDUP($G$22-$G$25-$G$27,1)</f>
        <v>0</v>
      </c>
      <c r="H29" s="375"/>
    </row>
    <row r="30" spans="1:8" ht="15.75" thickTop="1">
      <c r="B30" s="585"/>
      <c r="C30" s="587"/>
      <c r="D30" s="593"/>
      <c r="E30" s="589"/>
      <c r="F30" s="389"/>
      <c r="G30" s="263"/>
      <c r="H30" s="590"/>
    </row>
    <row r="31" spans="1:8">
      <c r="B31" s="594" t="s">
        <v>759</v>
      </c>
      <c r="C31" s="595"/>
      <c r="D31" s="596"/>
      <c r="E31" s="597"/>
      <c r="F31" s="598"/>
      <c r="G31" s="460"/>
      <c r="H31" s="599"/>
    </row>
    <row r="32" spans="1:8" ht="7.5" customHeight="1">
      <c r="B32" s="585"/>
      <c r="C32" s="587"/>
      <c r="D32" s="593"/>
      <c r="E32" s="589"/>
      <c r="F32" s="389"/>
      <c r="G32" s="263"/>
      <c r="H32" s="590"/>
    </row>
    <row r="33" spans="1:23" ht="24" customHeight="1">
      <c r="B33" s="585" t="s">
        <v>761</v>
      </c>
      <c r="C33" s="587"/>
      <c r="D33" s="588">
        <f>15000/$D$13</f>
        <v>0.69861673885706299</v>
      </c>
      <c r="E33" s="589"/>
      <c r="F33" s="389"/>
      <c r="G33" s="492">
        <f>15000/$D$13</f>
        <v>0.69861673885706299</v>
      </c>
      <c r="H33" s="590"/>
    </row>
    <row r="34" spans="1:23" ht="25.5">
      <c r="A34" s="1276">
        <v>5</v>
      </c>
      <c r="B34" s="585" t="s">
        <v>762</v>
      </c>
      <c r="C34" s="587">
        <f>'Unit £s Lipid-lowering therapy'!$C$15*(100%-$D$50)</f>
        <v>28.21</v>
      </c>
      <c r="D34" s="591">
        <f>$D$13*$D$33</f>
        <v>15000</v>
      </c>
      <c r="E34" s="589">
        <f>$C$34*$D$34</f>
        <v>423150</v>
      </c>
      <c r="F34" s="1245">
        <f>'Unit £s Lipid-lowering therapy'!$C$15*(100%-$G$50)</f>
        <v>28.21</v>
      </c>
      <c r="G34" s="1246">
        <f>$G$13*$G$33</f>
        <v>0</v>
      </c>
      <c r="H34" s="309">
        <f>$F$34*$G$34</f>
        <v>0</v>
      </c>
      <c r="I34" s="600"/>
      <c r="J34" s="601"/>
      <c r="K34" s="601"/>
      <c r="L34" s="601"/>
      <c r="M34" s="601"/>
      <c r="N34" s="601"/>
      <c r="O34" s="601"/>
      <c r="P34" s="601"/>
      <c r="Q34" s="601"/>
      <c r="R34" s="601"/>
      <c r="S34" s="601"/>
      <c r="T34" s="601"/>
      <c r="U34" s="601"/>
      <c r="V34" s="601"/>
      <c r="W34" s="600"/>
    </row>
    <row r="35" spans="1:23" ht="26.25" thickBot="1">
      <c r="B35" s="585" t="s">
        <v>767</v>
      </c>
      <c r="C35" s="587"/>
      <c r="D35" s="592">
        <f>$D$29-$D$34</f>
        <v>18611.023050000003</v>
      </c>
      <c r="E35" s="589"/>
      <c r="F35" s="389"/>
      <c r="G35" s="592">
        <f>$G$29-$G$34</f>
        <v>0</v>
      </c>
      <c r="H35" s="602"/>
      <c r="I35" s="603"/>
      <c r="J35" s="603"/>
      <c r="K35" s="603"/>
      <c r="L35" s="603"/>
      <c r="M35" s="603"/>
      <c r="N35" s="603"/>
      <c r="O35" s="603"/>
      <c r="P35" s="603"/>
      <c r="Q35" s="603"/>
      <c r="R35" s="603"/>
      <c r="S35" s="603"/>
      <c r="T35" s="603"/>
      <c r="U35" s="603"/>
      <c r="V35" s="603"/>
      <c r="W35" s="603"/>
    </row>
    <row r="36" spans="1:23" s="604" customFormat="1" ht="20.25" customHeight="1" thickTop="1">
      <c r="A36" s="998"/>
      <c r="B36" s="605" t="s">
        <v>630</v>
      </c>
      <c r="C36" s="606"/>
      <c r="D36" s="377"/>
      <c r="E36" s="607"/>
      <c r="F36" s="608"/>
      <c r="G36" s="377"/>
      <c r="H36" s="609"/>
      <c r="I36" s="610"/>
      <c r="J36" s="610"/>
      <c r="K36" s="610"/>
      <c r="L36" s="610"/>
      <c r="M36" s="610"/>
      <c r="N36" s="610"/>
      <c r="O36" s="610"/>
      <c r="P36" s="610"/>
      <c r="Q36" s="610"/>
      <c r="R36" s="610"/>
      <c r="S36" s="610"/>
      <c r="T36" s="610"/>
      <c r="U36" s="610"/>
      <c r="V36" s="610"/>
      <c r="W36" s="610"/>
    </row>
    <row r="37" spans="1:23">
      <c r="B37" s="585" t="s">
        <v>629</v>
      </c>
      <c r="C37" s="587"/>
      <c r="D37" s="588">
        <f>'Unit £s Lipid-lowering therapy'!$B$15</f>
        <v>0.05</v>
      </c>
      <c r="E37" s="589"/>
      <c r="F37" s="389"/>
      <c r="G37" s="301">
        <f>'Unit £s Lipid-lowering therapy'!$B$15</f>
        <v>0.05</v>
      </c>
      <c r="H37" s="590"/>
    </row>
    <row r="38" spans="1:23">
      <c r="A38" s="1276">
        <v>6</v>
      </c>
      <c r="B38" s="585" t="s">
        <v>628</v>
      </c>
      <c r="C38" s="587">
        <f>'Unit £s Lipid-lowering therapy'!$D$15*(100%-$D$50)</f>
        <v>1.4105000000000001</v>
      </c>
      <c r="D38" s="591">
        <f>$D$35*$D$37</f>
        <v>930.55115250000017</v>
      </c>
      <c r="E38" s="390">
        <f>$C$38*$D$38</f>
        <v>1312.5424006012504</v>
      </c>
      <c r="F38" s="633">
        <f>'Unit £s Lipid-lowering therapy'!$D$15*(100%-$G$50)</f>
        <v>1.4105000000000001</v>
      </c>
      <c r="G38" s="227">
        <f>$G$35*$G$37</f>
        <v>0</v>
      </c>
      <c r="H38" s="309">
        <f>$F$38*$G$38</f>
        <v>0</v>
      </c>
    </row>
    <row r="39" spans="1:23">
      <c r="B39" s="585" t="s">
        <v>623</v>
      </c>
      <c r="C39" s="587"/>
      <c r="D39" s="588">
        <f>'Unit £s Lipid-lowering therapy'!$B$17</f>
        <v>0.52286656460685033</v>
      </c>
      <c r="E39" s="589"/>
      <c r="F39" s="389"/>
      <c r="G39" s="301">
        <f>'Unit £s Lipid-lowering therapy'!$B$17</f>
        <v>0.52286656460685033</v>
      </c>
      <c r="H39" s="590"/>
    </row>
    <row r="40" spans="1:23">
      <c r="B40" s="585" t="s">
        <v>622</v>
      </c>
      <c r="C40" s="587">
        <f>'Unit £s Lipid-lowering therapy'!$D$17</f>
        <v>0.73201319044959046</v>
      </c>
      <c r="D40" s="591">
        <f>$D$35*$D$39</f>
        <v>9731.0816859724073</v>
      </c>
      <c r="E40" s="589">
        <f>$C$40*$D$40</f>
        <v>7123.2801514742414</v>
      </c>
      <c r="F40" s="634">
        <f>'Unit £s Lipid-lowering therapy'!$D$17</f>
        <v>0.73201319044959046</v>
      </c>
      <c r="G40" s="227">
        <f>$G$35*$G$39</f>
        <v>0</v>
      </c>
      <c r="H40" s="309">
        <f>$F$40*$G$40</f>
        <v>0</v>
      </c>
      <c r="I40" s="600"/>
      <c r="J40" s="600"/>
      <c r="K40" s="600"/>
      <c r="L40" s="600"/>
      <c r="M40" s="600"/>
      <c r="N40" s="600"/>
      <c r="O40" s="600"/>
      <c r="P40" s="600"/>
      <c r="Q40" s="600"/>
      <c r="R40" s="600"/>
      <c r="S40" s="600"/>
      <c r="T40" s="600"/>
      <c r="U40" s="600"/>
      <c r="V40" s="600"/>
      <c r="W40" s="600"/>
    </row>
    <row r="41" spans="1:23">
      <c r="B41" s="585" t="s">
        <v>624</v>
      </c>
      <c r="C41" s="587"/>
      <c r="D41" s="588">
        <f>'Unit £s Lipid-lowering therapy'!$B$16</f>
        <v>0.35493701524170274</v>
      </c>
      <c r="E41" s="589"/>
      <c r="F41" s="389"/>
      <c r="G41" s="492">
        <f>'Unit £s Lipid-lowering therapy'!$B$16</f>
        <v>0.35493701524170274</v>
      </c>
      <c r="H41" s="590"/>
      <c r="I41" s="603"/>
      <c r="J41" s="603"/>
      <c r="K41" s="603"/>
      <c r="L41" s="603"/>
      <c r="M41" s="603"/>
      <c r="N41" s="603"/>
      <c r="O41" s="603"/>
      <c r="P41" s="603"/>
      <c r="Q41" s="603"/>
      <c r="R41" s="603"/>
      <c r="S41" s="603"/>
      <c r="T41" s="603"/>
      <c r="U41" s="603"/>
      <c r="V41" s="603"/>
      <c r="W41" s="603"/>
    </row>
    <row r="42" spans="1:23">
      <c r="B42" s="585" t="s">
        <v>625</v>
      </c>
      <c r="C42" s="587">
        <f>'Unit £s Lipid-lowering therapy'!$D$16*(100%-$D$50)</f>
        <v>8.7456480555555558</v>
      </c>
      <c r="D42" s="591">
        <f>$D$35*$D$41</f>
        <v>6605.7409719615325</v>
      </c>
      <c r="E42" s="390">
        <f>$C$42*$D$42</f>
        <v>57771.485686939042</v>
      </c>
      <c r="F42" s="633">
        <f>'Unit £s Lipid-lowering therapy'!$D$16*(100%-$G$50)</f>
        <v>8.7456480555555558</v>
      </c>
      <c r="G42" s="591">
        <f>$G$35*$G$41</f>
        <v>0</v>
      </c>
      <c r="H42" s="309">
        <f>$F$42*$G$42</f>
        <v>0</v>
      </c>
      <c r="W42" s="603"/>
    </row>
    <row r="43" spans="1:23">
      <c r="B43" s="585" t="s">
        <v>892</v>
      </c>
      <c r="C43" s="587"/>
      <c r="D43" s="588">
        <f>'Unit £s Lipid-lowering therapy'!$B$18</f>
        <v>7.2196420151446977E-2</v>
      </c>
      <c r="E43" s="589"/>
      <c r="F43" s="389"/>
      <c r="G43" s="492">
        <f>'Unit £s Lipid-lowering therapy'!$B$18</f>
        <v>7.2196420151446977E-2</v>
      </c>
      <c r="H43" s="590"/>
    </row>
    <row r="44" spans="1:23">
      <c r="B44" s="585" t="s">
        <v>893</v>
      </c>
      <c r="C44" s="587">
        <f>'Unit £s Lipid-lowering therapy'!$D$18</f>
        <v>1.4589428916666667</v>
      </c>
      <c r="D44" s="591">
        <f>$D$35*$D$43</f>
        <v>1343.6492395660644</v>
      </c>
      <c r="E44" s="589">
        <f>$C$44*$D$44</f>
        <v>1960.3075069582317</v>
      </c>
      <c r="F44" s="634">
        <f>'Unit £s Lipid-lowering therapy'!$D$18</f>
        <v>1.4589428916666667</v>
      </c>
      <c r="G44" s="591">
        <f>$G$35*$G$43</f>
        <v>0</v>
      </c>
      <c r="H44" s="309">
        <f>$F$44*$G$44</f>
        <v>0</v>
      </c>
    </row>
    <row r="45" spans="1:23" ht="15.75" thickBot="1">
      <c r="B45" s="585" t="s">
        <v>631</v>
      </c>
      <c r="C45" s="587">
        <f>SUM($C$38:$C$44)</f>
        <v>12.347104137671813</v>
      </c>
      <c r="D45" s="592">
        <f>$D$38+$D$40+$D$42+$D$44</f>
        <v>18611.023050000003</v>
      </c>
      <c r="E45" s="611">
        <f>$D$45*$C$45</f>
        <v>229792.23970696054</v>
      </c>
      <c r="F45" s="634">
        <f>SUM($F$38:$F$44)</f>
        <v>12.347104137671813</v>
      </c>
      <c r="G45" s="592">
        <f>$G$38+$G$40+$G$42+$G$44</f>
        <v>0</v>
      </c>
      <c r="H45" s="612">
        <f>$G$45*$F$45</f>
        <v>0</v>
      </c>
    </row>
    <row r="46" spans="1:23" ht="15.75" thickTop="1">
      <c r="B46" s="585"/>
      <c r="C46" s="587"/>
      <c r="D46" s="593"/>
      <c r="E46" s="589"/>
      <c r="F46" s="389"/>
      <c r="G46" s="263"/>
      <c r="H46" s="590"/>
    </row>
    <row r="47" spans="1:23">
      <c r="B47" s="594" t="s">
        <v>632</v>
      </c>
      <c r="C47" s="595"/>
      <c r="D47" s="596"/>
      <c r="E47" s="597"/>
      <c r="F47" s="598"/>
      <c r="G47" s="460"/>
      <c r="H47" s="599"/>
    </row>
    <row r="48" spans="1:23">
      <c r="B48" s="585"/>
      <c r="C48" s="587"/>
      <c r="D48" s="593"/>
      <c r="E48" s="589"/>
      <c r="F48" s="389"/>
      <c r="G48" s="263"/>
      <c r="H48" s="590"/>
    </row>
    <row r="49" spans="1:8" ht="25.5">
      <c r="B49" s="585" t="s">
        <v>634</v>
      </c>
      <c r="C49" s="587"/>
      <c r="D49" s="588">
        <v>0.3</v>
      </c>
      <c r="E49" s="593"/>
      <c r="F49" s="389"/>
      <c r="G49" s="492">
        <f>'Unit £s Lipid-lowering therapy'!$B$8</f>
        <v>0.3</v>
      </c>
      <c r="H49" s="590"/>
    </row>
    <row r="50" spans="1:8" ht="25.5">
      <c r="B50" s="585" t="s">
        <v>643</v>
      </c>
      <c r="C50" s="587"/>
      <c r="D50" s="588">
        <v>0</v>
      </c>
      <c r="E50" s="593"/>
      <c r="F50" s="389"/>
      <c r="G50" s="492">
        <v>0</v>
      </c>
      <c r="H50" s="590"/>
    </row>
    <row r="51" spans="1:8" ht="25.5">
      <c r="B51" s="585" t="s">
        <v>636</v>
      </c>
      <c r="C51" s="587">
        <f>'Unit £s Lipid-lowering therapy'!$C$15*(100%-$D$50)</f>
        <v>28.21</v>
      </c>
      <c r="D51" s="591">
        <f>($D$45*$D$49)</f>
        <v>5583.306915000001</v>
      </c>
      <c r="E51" s="390">
        <f>$C$51*$D$51</f>
        <v>157505.08807215004</v>
      </c>
      <c r="F51" s="1247">
        <f>'Unit £s Lipid-lowering therapy'!$C$15*(100%-$G$50)</f>
        <v>28.21</v>
      </c>
      <c r="G51" s="591">
        <f>$G$45*$G$49</f>
        <v>0</v>
      </c>
      <c r="H51" s="309">
        <f>$F$51*$G$51</f>
        <v>0</v>
      </c>
    </row>
    <row r="52" spans="1:8" ht="25.5">
      <c r="B52" s="585" t="s">
        <v>637</v>
      </c>
      <c r="C52" s="587"/>
      <c r="D52" s="588">
        <f>100%-$D$49</f>
        <v>0.7</v>
      </c>
      <c r="E52" s="613"/>
      <c r="F52" s="586"/>
      <c r="G52" s="492">
        <f>100%-$G$49</f>
        <v>0.7</v>
      </c>
      <c r="H52" s="309"/>
    </row>
    <row r="53" spans="1:8" ht="25.5">
      <c r="B53" s="585" t="s">
        <v>638</v>
      </c>
      <c r="C53" s="587">
        <f>IF($D$50=50%,'Unit £s Lipid-lowering therapy'!$E$19,IF($D$50=70%,'Unit £s Lipid-lowering therapy'!$F$19,'Unit £s Lipid-lowering therapy'!$D$19))</f>
        <v>12.347104137671813</v>
      </c>
      <c r="D53" s="591">
        <f>$D$45*$D$52</f>
        <v>13027.716135000002</v>
      </c>
      <c r="E53" s="390">
        <f>$C$53*$D$53</f>
        <v>160854.56779487236</v>
      </c>
      <c r="F53" s="1247">
        <f>IF($G$50=50%,'Unit £s Lipid-lowering therapy'!$E$19,IF($G$50=70%,'Unit £s Lipid-lowering therapy'!$F$19,'Unit £s Lipid-lowering therapy'!$D$19))</f>
        <v>12.347104137671813</v>
      </c>
      <c r="G53" s="591">
        <f>$G$45*$G$52</f>
        <v>0</v>
      </c>
      <c r="H53" s="309">
        <f>$F$53*$G$53</f>
        <v>0</v>
      </c>
    </row>
    <row r="54" spans="1:8" s="469" customFormat="1" ht="15.75">
      <c r="A54" s="1268"/>
      <c r="B54" s="614" t="s">
        <v>639</v>
      </c>
      <c r="C54" s="615"/>
      <c r="D54" s="616"/>
      <c r="E54" s="617">
        <f>SUM($E$51:$E$53)</f>
        <v>318359.6558670224</v>
      </c>
      <c r="F54" s="431"/>
      <c r="G54" s="431"/>
      <c r="H54" s="306">
        <f>SUM($H$51:$H$53)</f>
        <v>0</v>
      </c>
    </row>
    <row r="55" spans="1:8" ht="16.5" thickBot="1">
      <c r="A55" s="1268"/>
      <c r="B55" s="618" t="s">
        <v>640</v>
      </c>
      <c r="C55" s="619"/>
      <c r="D55" s="620"/>
      <c r="E55" s="621">
        <f>ROUNDUP($E$54-$E$45,0)</f>
        <v>88568</v>
      </c>
      <c r="F55" s="622"/>
      <c r="G55" s="622"/>
      <c r="H55" s="623">
        <f>ROUNDUP($H$54-$H$45,0)</f>
        <v>0</v>
      </c>
    </row>
    <row r="56" spans="1:8" ht="6.75" customHeight="1" thickTop="1">
      <c r="B56" s="585"/>
      <c r="C56" s="587"/>
      <c r="D56" s="593"/>
      <c r="E56" s="593"/>
      <c r="F56" s="389"/>
      <c r="G56" s="263"/>
      <c r="H56" s="590"/>
    </row>
    <row r="57" spans="1:8" s="604" customFormat="1" ht="26.25" thickBot="1">
      <c r="A57" s="998"/>
      <c r="B57" s="605" t="s">
        <v>642</v>
      </c>
      <c r="C57" s="607">
        <f>'Unit £s Lipid-lowering therapy'!$B$24</f>
        <v>115</v>
      </c>
      <c r="D57" s="624">
        <f>'Unit £s Lipid-lowering therapy'!$B$23</f>
        <v>0.3</v>
      </c>
      <c r="E57" s="607">
        <f>ROUNDUP($D$51*$D$57*$C$57,0)</f>
        <v>192625</v>
      </c>
      <c r="F57" s="635">
        <f>'Unit £s Lipid-lowering therapy'!$B$24</f>
        <v>115</v>
      </c>
      <c r="G57" s="636">
        <f>'Unit £s Lipid-lowering therapy'!$B$23</f>
        <v>0.3</v>
      </c>
      <c r="H57" s="379">
        <f>ROUNDUP($G$51*$G$57*$F$57,0)</f>
        <v>0</v>
      </c>
    </row>
    <row r="58" spans="1:8" s="625" customFormat="1" ht="27.75" customHeight="1" thickBot="1">
      <c r="A58" s="1269"/>
      <c r="B58" s="626" t="s">
        <v>890</v>
      </c>
      <c r="C58" s="627"/>
      <c r="D58" s="628"/>
      <c r="E58" s="629">
        <f>IF($D$49=100%,ROUNDUP($E$55+$E$57,-1),IF($D$49=50%,ROUNDUP($E$55+$E$57,0),$E$55+$E$57))</f>
        <v>281193</v>
      </c>
      <c r="F58" s="628"/>
      <c r="G58" s="628"/>
      <c r="H58" s="629">
        <f>IF($G$49=100%,ROUNDUP($H$55+$H$57,-1),IF($G$49=50%,ROUNDUP($H$55+$E$57,0),$H$55+$H$57))</f>
        <v>0</v>
      </c>
    </row>
    <row r="59" spans="1:8" ht="15.75" thickTop="1">
      <c r="B59" s="630"/>
      <c r="C59" s="587"/>
      <c r="D59" s="593"/>
      <c r="E59" s="593"/>
      <c r="F59" s="593"/>
      <c r="G59" s="593"/>
      <c r="H59" s="593"/>
    </row>
    <row r="60" spans="1:8">
      <c r="A60" s="1261" t="s">
        <v>151</v>
      </c>
      <c r="B60" s="1249" t="s">
        <v>152</v>
      </c>
      <c r="C60" s="593"/>
      <c r="D60" s="593"/>
      <c r="E60" s="593"/>
      <c r="F60" s="593"/>
      <c r="G60" s="593"/>
      <c r="H60" s="593"/>
    </row>
    <row r="61" spans="1:8">
      <c r="A61" s="1272">
        <v>1</v>
      </c>
      <c r="B61" s="1452" t="s">
        <v>206</v>
      </c>
      <c r="C61" s="1453"/>
      <c r="D61" s="1453"/>
      <c r="E61" s="1453"/>
      <c r="F61" s="1453"/>
      <c r="G61" s="1453"/>
      <c r="H61" s="1453"/>
    </row>
    <row r="62" spans="1:8" ht="38.25" customHeight="1">
      <c r="A62" s="1273">
        <v>2</v>
      </c>
      <c r="B62" s="1452" t="s">
        <v>207</v>
      </c>
      <c r="C62" s="1452"/>
      <c r="D62" s="1452"/>
      <c r="E62" s="1452"/>
      <c r="F62" s="1452"/>
      <c r="G62" s="1452"/>
      <c r="H62" s="1452"/>
    </row>
    <row r="63" spans="1:8" ht="24" customHeight="1">
      <c r="A63" s="1273">
        <v>3</v>
      </c>
      <c r="B63" s="1452" t="s">
        <v>208</v>
      </c>
      <c r="C63" s="1452"/>
      <c r="D63" s="1452"/>
      <c r="E63" s="1452"/>
      <c r="F63" s="1452"/>
      <c r="G63" s="1452"/>
      <c r="H63" s="1452"/>
    </row>
    <row r="64" spans="1:8" ht="36" customHeight="1">
      <c r="A64" s="1273">
        <v>4</v>
      </c>
      <c r="B64" s="1452" t="s">
        <v>209</v>
      </c>
      <c r="C64" s="1452"/>
      <c r="D64" s="1452"/>
      <c r="E64" s="1452"/>
      <c r="F64" s="1452"/>
      <c r="G64" s="1452"/>
      <c r="H64" s="1452"/>
    </row>
    <row r="65" spans="1:8" ht="24" customHeight="1">
      <c r="A65" s="1272">
        <v>5</v>
      </c>
      <c r="B65" s="1451" t="s">
        <v>211</v>
      </c>
      <c r="C65" s="1451"/>
      <c r="D65" s="1451"/>
      <c r="E65" s="1451"/>
      <c r="F65" s="1451"/>
      <c r="G65" s="1451"/>
      <c r="H65" s="1451"/>
    </row>
    <row r="66" spans="1:8" ht="24" customHeight="1">
      <c r="A66" s="1272">
        <v>6</v>
      </c>
      <c r="B66" s="1451" t="s">
        <v>212</v>
      </c>
      <c r="C66" s="1451"/>
      <c r="D66" s="1451"/>
      <c r="E66" s="1451"/>
      <c r="F66" s="1451"/>
      <c r="G66" s="1451"/>
      <c r="H66" s="1451"/>
    </row>
    <row r="67" spans="1:8">
      <c r="A67" s="1272"/>
      <c r="B67" s="1274"/>
      <c r="C67" s="1272"/>
      <c r="D67" s="1272"/>
      <c r="E67" s="1272"/>
      <c r="F67" s="1272"/>
      <c r="G67" s="1272"/>
      <c r="H67" s="1272"/>
    </row>
    <row r="68" spans="1:8">
      <c r="A68" s="1272"/>
      <c r="B68" s="1274"/>
      <c r="C68" s="1272"/>
      <c r="D68" s="1272"/>
      <c r="E68" s="1272"/>
      <c r="F68" s="1272"/>
      <c r="G68" s="1272"/>
      <c r="H68" s="1272"/>
    </row>
    <row r="69" spans="1:8">
      <c r="A69" s="1272"/>
      <c r="B69" s="1274"/>
      <c r="C69" s="1272"/>
      <c r="D69" s="1272"/>
      <c r="E69" s="1272"/>
      <c r="F69" s="1272"/>
      <c r="G69" s="1272"/>
      <c r="H69" s="1272"/>
    </row>
    <row r="70" spans="1:8">
      <c r="A70" s="1272"/>
      <c r="B70" s="1274"/>
      <c r="C70" s="1272"/>
      <c r="D70" s="1272"/>
      <c r="E70" s="1272"/>
      <c r="F70" s="1272"/>
      <c r="G70" s="1272"/>
      <c r="H70" s="1272"/>
    </row>
    <row r="71" spans="1:8">
      <c r="A71" s="1272"/>
      <c r="B71" s="1274"/>
      <c r="C71" s="1272"/>
      <c r="D71" s="1272"/>
      <c r="E71" s="1272"/>
      <c r="F71" s="1272"/>
      <c r="G71" s="1272"/>
      <c r="H71" s="1272"/>
    </row>
    <row r="72" spans="1:8">
      <c r="A72" s="1272"/>
      <c r="B72" s="1274"/>
      <c r="C72" s="1272"/>
      <c r="D72" s="1272"/>
      <c r="E72" s="1272"/>
      <c r="F72" s="1272"/>
      <c r="G72" s="1272"/>
      <c r="H72" s="1272"/>
    </row>
    <row r="73" spans="1:8">
      <c r="A73" s="1272"/>
      <c r="B73" s="1274"/>
      <c r="C73" s="1272"/>
      <c r="D73" s="1272"/>
      <c r="E73" s="1272"/>
      <c r="F73" s="1272"/>
      <c r="G73" s="1272"/>
      <c r="H73" s="1272"/>
    </row>
    <row r="74" spans="1:8">
      <c r="A74" s="1272"/>
      <c r="B74" s="1274"/>
      <c r="C74" s="1272"/>
      <c r="D74" s="1272"/>
      <c r="E74" s="1272"/>
      <c r="F74" s="1272"/>
      <c r="G74" s="1272"/>
      <c r="H74" s="1272"/>
    </row>
    <row r="75" spans="1:8">
      <c r="B75" s="630"/>
      <c r="C75" s="593"/>
      <c r="D75" s="593"/>
      <c r="E75" s="593"/>
      <c r="F75" s="593"/>
      <c r="G75" s="593"/>
      <c r="H75" s="593"/>
    </row>
    <row r="76" spans="1:8">
      <c r="B76" s="630"/>
      <c r="C76" s="593"/>
      <c r="D76" s="593"/>
      <c r="E76" s="593"/>
      <c r="F76" s="593"/>
      <c r="G76" s="593"/>
      <c r="H76" s="593"/>
    </row>
    <row r="77" spans="1:8">
      <c r="B77" s="630"/>
      <c r="C77" s="593"/>
      <c r="D77" s="593"/>
      <c r="E77" s="593"/>
      <c r="F77" s="593"/>
      <c r="G77" s="593"/>
      <c r="H77" s="593"/>
    </row>
    <row r="78" spans="1:8">
      <c r="B78" s="630"/>
      <c r="C78" s="593"/>
      <c r="D78" s="593"/>
      <c r="E78" s="593"/>
      <c r="F78" s="593"/>
      <c r="G78" s="593"/>
      <c r="H78" s="593"/>
    </row>
    <row r="79" spans="1:8">
      <c r="B79" s="630"/>
      <c r="C79" s="593"/>
      <c r="D79" s="593"/>
      <c r="E79" s="593"/>
      <c r="F79" s="593"/>
      <c r="G79" s="593"/>
      <c r="H79" s="593"/>
    </row>
    <row r="80" spans="1:8">
      <c r="B80" s="630"/>
      <c r="C80" s="593"/>
      <c r="D80" s="593"/>
      <c r="E80" s="593"/>
      <c r="F80" s="593"/>
      <c r="G80" s="593"/>
      <c r="H80" s="593"/>
    </row>
    <row r="81" spans="2:8">
      <c r="B81" s="630"/>
      <c r="C81" s="593"/>
      <c r="D81" s="593"/>
      <c r="E81" s="593"/>
      <c r="F81" s="593"/>
      <c r="G81" s="593"/>
      <c r="H81" s="593"/>
    </row>
    <row r="82" spans="2:8">
      <c r="B82" s="630"/>
      <c r="C82" s="593"/>
      <c r="D82" s="593"/>
      <c r="E82" s="593"/>
      <c r="F82" s="593"/>
      <c r="G82" s="593"/>
      <c r="H82" s="593"/>
    </row>
    <row r="83" spans="2:8">
      <c r="B83" s="630"/>
      <c r="C83" s="593"/>
      <c r="D83" s="593"/>
      <c r="E83" s="593"/>
      <c r="F83" s="593"/>
      <c r="G83" s="593"/>
      <c r="H83" s="593"/>
    </row>
    <row r="84" spans="2:8">
      <c r="B84" s="630"/>
      <c r="C84" s="593"/>
      <c r="D84" s="593"/>
      <c r="E84" s="593"/>
      <c r="F84" s="593"/>
      <c r="G84" s="593"/>
      <c r="H84" s="593"/>
    </row>
    <row r="85" spans="2:8">
      <c r="B85" s="630"/>
      <c r="C85" s="593"/>
      <c r="D85" s="593"/>
      <c r="E85" s="593"/>
      <c r="F85" s="593"/>
      <c r="G85" s="593"/>
      <c r="H85" s="593"/>
    </row>
    <row r="86" spans="2:8">
      <c r="B86" s="630"/>
      <c r="C86" s="593"/>
      <c r="D86" s="593"/>
      <c r="E86" s="593"/>
      <c r="F86" s="593"/>
      <c r="G86" s="593"/>
      <c r="H86" s="593"/>
    </row>
    <row r="87" spans="2:8">
      <c r="B87" s="630"/>
      <c r="C87" s="593"/>
      <c r="D87" s="593"/>
      <c r="E87" s="593"/>
      <c r="F87" s="593"/>
      <c r="G87" s="593"/>
      <c r="H87" s="593"/>
    </row>
    <row r="88" spans="2:8">
      <c r="B88" s="630"/>
      <c r="C88" s="593"/>
      <c r="D88" s="593"/>
      <c r="E88" s="593"/>
      <c r="F88" s="593"/>
      <c r="G88" s="593"/>
      <c r="H88" s="593"/>
    </row>
    <row r="89" spans="2:8">
      <c r="B89" s="630"/>
      <c r="C89" s="593"/>
      <c r="D89" s="593"/>
      <c r="E89" s="593"/>
      <c r="F89" s="593"/>
      <c r="G89" s="593"/>
      <c r="H89" s="593"/>
    </row>
    <row r="90" spans="2:8">
      <c r="B90" s="630"/>
      <c r="C90" s="593"/>
      <c r="D90" s="593"/>
      <c r="E90" s="593"/>
      <c r="F90" s="593"/>
      <c r="G90" s="593"/>
      <c r="H90" s="593"/>
    </row>
    <row r="91" spans="2:8">
      <c r="B91" s="630"/>
      <c r="C91" s="593"/>
      <c r="D91" s="593"/>
      <c r="E91" s="593"/>
      <c r="F91" s="593"/>
      <c r="G91" s="593"/>
      <c r="H91" s="593"/>
    </row>
    <row r="92" spans="2:8">
      <c r="B92" s="630"/>
      <c r="C92" s="593"/>
      <c r="D92" s="593"/>
      <c r="E92" s="593"/>
      <c r="F92" s="593"/>
      <c r="G92" s="593"/>
      <c r="H92" s="593"/>
    </row>
    <row r="93" spans="2:8">
      <c r="B93" s="630"/>
      <c r="C93" s="593"/>
      <c r="D93" s="593"/>
      <c r="E93" s="593"/>
      <c r="F93" s="593"/>
      <c r="G93" s="593"/>
      <c r="H93" s="593"/>
    </row>
    <row r="94" spans="2:8">
      <c r="B94" s="630"/>
      <c r="C94" s="593"/>
      <c r="D94" s="593"/>
      <c r="E94" s="593"/>
      <c r="F94" s="593"/>
      <c r="G94" s="593"/>
      <c r="H94" s="593"/>
    </row>
    <row r="95" spans="2:8">
      <c r="B95" s="630"/>
      <c r="C95" s="593"/>
      <c r="D95" s="593"/>
      <c r="E95" s="593"/>
      <c r="F95" s="593"/>
      <c r="G95" s="593"/>
      <c r="H95" s="593"/>
    </row>
    <row r="96" spans="2:8">
      <c r="B96" s="630"/>
      <c r="C96" s="593"/>
      <c r="D96" s="593"/>
      <c r="E96" s="593"/>
      <c r="F96" s="593"/>
      <c r="G96" s="593"/>
      <c r="H96" s="593"/>
    </row>
    <row r="97" spans="2:8">
      <c r="B97" s="630"/>
      <c r="C97" s="593"/>
      <c r="D97" s="593"/>
      <c r="E97" s="593"/>
      <c r="F97" s="593"/>
      <c r="G97" s="593"/>
      <c r="H97" s="593"/>
    </row>
    <row r="98" spans="2:8">
      <c r="B98" s="630"/>
      <c r="C98" s="593"/>
      <c r="D98" s="593"/>
      <c r="E98" s="593"/>
      <c r="F98" s="593"/>
      <c r="G98" s="593"/>
      <c r="H98" s="593"/>
    </row>
    <row r="99" spans="2:8">
      <c r="B99" s="630"/>
      <c r="C99" s="593"/>
      <c r="D99" s="593"/>
      <c r="E99" s="593"/>
      <c r="F99" s="593"/>
      <c r="G99" s="593"/>
      <c r="H99" s="593"/>
    </row>
  </sheetData>
  <sheetProtection password="C7D8" sheet="1" objects="1" scenarios="1"/>
  <mergeCells count="10">
    <mergeCell ref="A1:G1"/>
    <mergeCell ref="A2:B2"/>
    <mergeCell ref="C5:E5"/>
    <mergeCell ref="B61:H61"/>
    <mergeCell ref="B62:H62"/>
    <mergeCell ref="B65:H65"/>
    <mergeCell ref="B66:H66"/>
    <mergeCell ref="B63:H63"/>
    <mergeCell ref="B64:H64"/>
    <mergeCell ref="F7:H7"/>
  </mergeCells>
  <phoneticPr fontId="4" type="noConversion"/>
  <dataValidations xWindow="859" yWindow="766" count="2">
    <dataValidation allowBlank="1" showInputMessage="1" showErrorMessage="1" promptTitle="NHS board selected" prompt="'Select Health board' will change to NHS board selected in STEP 1.  Costs are based on the NHS board selected in step 1. " sqref="F5"/>
    <dataValidation allowBlank="1" showInputMessage="1" showErrorMessage="1" promptTitle="Notes" prompt="_x000a_Click on a number below to be provided with a information relating to the corresponding part of the model." sqref="A7"/>
  </dataValidations>
  <hyperlinks>
    <hyperlink ref="A10" location="'STEP 2.Lipid-lowering therapy'!A61" display="'STEP 2.Lipid-lowering therapy'!A61"/>
    <hyperlink ref="A11" location="'STEP 2.Lipid-lowering therapy'!A62" display="'STEP 2.Lipid-lowering therapy'!A62"/>
    <hyperlink ref="A15" location="'STEP 2.Lipid-lowering therapy'!A63" display="'STEP 2.Lipid-lowering therapy'!A63"/>
    <hyperlink ref="A20" location="'STEP 2.Lipid-lowering therapy'!A64" display="'STEP 2.Lipid-lowering therapy'!A64"/>
    <hyperlink ref="A34" location="'STEP 2.Lipid-lowering therapy'!A65" display="'STEP 2.Lipid-lowering therapy'!A65"/>
    <hyperlink ref="A38" location="'STEP 2.Lipid-lowering therapy'!A66" display="'STEP 2.Lipid-lowering therapy'!A66"/>
  </hyperlinks>
  <pageMargins left="0.75" right="0.75" top="1" bottom="1" header="0.5" footer="0.5"/>
  <pageSetup paperSize="8" scale="34" fitToHeight="0" orientation="portrait" r:id="rId1"/>
  <headerFooter alignWithMargins="0"/>
  <ignoredErrors>
    <ignoredError sqref="G10:G18 G20 G22 G29 G33:G34 F38 F40 F42 F57:G57 G41 G43 G39 G37 F51 F53 G49 F44:F45 G52 G24:G28 F34" unlockedFormula="1"/>
  </ignoredErrors>
  <drawing r:id="rId2"/>
</worksheet>
</file>

<file path=xl/worksheets/sheet16.xml><?xml version="1.0" encoding="utf-8"?>
<worksheet xmlns="http://schemas.openxmlformats.org/spreadsheetml/2006/main" xmlns:r="http://schemas.openxmlformats.org/officeDocument/2006/relationships">
  <sheetPr codeName="Sheet2">
    <pageSetUpPr autoPageBreaks="0"/>
  </sheetPr>
  <dimension ref="A1:H24"/>
  <sheetViews>
    <sheetView showGridLines="0" showRowColHeaders="0" workbookViewId="0">
      <selection activeCell="A5" sqref="A5"/>
    </sheetView>
  </sheetViews>
  <sheetFormatPr defaultRowHeight="15"/>
  <cols>
    <col min="1" max="1" width="19.88671875" style="332" customWidth="1"/>
    <col min="2" max="2" width="8.88671875" style="998"/>
    <col min="3" max="4" width="10.6640625" style="332" customWidth="1"/>
    <col min="5" max="5" width="10.109375" style="332" customWidth="1"/>
    <col min="6" max="16384" width="8.88671875" style="332"/>
  </cols>
  <sheetData>
    <row r="1" spans="1:8" ht="18">
      <c r="A1" s="997" t="s">
        <v>742</v>
      </c>
    </row>
    <row r="2" spans="1:8" ht="15.75" thickBot="1"/>
    <row r="3" spans="1:8" ht="26.25" thickTop="1">
      <c r="A3" s="999" t="s">
        <v>746</v>
      </c>
      <c r="B3" s="1015">
        <v>3683</v>
      </c>
    </row>
    <row r="4" spans="1:8" ht="38.25">
      <c r="A4" s="1000" t="s">
        <v>740</v>
      </c>
      <c r="B4" s="1016">
        <v>9.5000000000000001E-2</v>
      </c>
    </row>
    <row r="5" spans="1:8" s="438" customFormat="1" ht="25.5">
      <c r="A5" s="1000" t="s">
        <v>743</v>
      </c>
      <c r="B5" s="1017">
        <v>0.03</v>
      </c>
    </row>
    <row r="6" spans="1:8" s="438" customFormat="1" ht="25.5">
      <c r="A6" s="1000" t="s">
        <v>744</v>
      </c>
      <c r="B6" s="1017">
        <v>0.04</v>
      </c>
    </row>
    <row r="7" spans="1:8" s="438" customFormat="1" ht="38.25">
      <c r="A7" s="585" t="s">
        <v>760</v>
      </c>
      <c r="B7" s="1017">
        <v>0.7</v>
      </c>
    </row>
    <row r="8" spans="1:8" s="438" customFormat="1" ht="25.5">
      <c r="A8" s="585" t="s">
        <v>635</v>
      </c>
      <c r="B8" s="1017">
        <v>0.3</v>
      </c>
    </row>
    <row r="9" spans="1:8" s="438" customFormat="1" ht="39" thickBot="1">
      <c r="A9" s="1001" t="s">
        <v>644</v>
      </c>
      <c r="B9" s="1018">
        <v>0.5</v>
      </c>
      <c r="C9" s="438" t="s">
        <v>645</v>
      </c>
    </row>
    <row r="10" spans="1:8" ht="24" customHeight="1" thickTop="1"/>
    <row r="11" spans="1:8" s="438" customFormat="1" ht="19.5" customHeight="1">
      <c r="A11" s="468" t="s">
        <v>769</v>
      </c>
      <c r="B11" s="1002"/>
    </row>
    <row r="12" spans="1:8" s="438" customFormat="1" ht="13.5" thickBot="1">
      <c r="B12" s="1002"/>
      <c r="E12" s="1003"/>
    </row>
    <row r="13" spans="1:8" s="438" customFormat="1" ht="64.5" thickTop="1">
      <c r="A13" s="1456" t="s">
        <v>770</v>
      </c>
      <c r="B13" s="1454" t="s">
        <v>768</v>
      </c>
      <c r="C13" s="1004" t="s">
        <v>771</v>
      </c>
      <c r="D13" s="1004" t="s">
        <v>633</v>
      </c>
      <c r="E13" s="1004" t="s">
        <v>772</v>
      </c>
      <c r="F13" s="1005" t="s">
        <v>772</v>
      </c>
      <c r="G13" s="468"/>
      <c r="H13" s="468"/>
    </row>
    <row r="14" spans="1:8" s="438" customFormat="1" ht="16.5" customHeight="1" thickBot="1">
      <c r="A14" s="1457"/>
      <c r="B14" s="1455"/>
      <c r="C14" s="1006"/>
      <c r="D14" s="1006"/>
      <c r="E14" s="1021">
        <v>0.5</v>
      </c>
      <c r="F14" s="1022">
        <v>0.7</v>
      </c>
      <c r="G14" s="468"/>
      <c r="H14" s="468"/>
    </row>
    <row r="15" spans="1:8" s="438" customFormat="1" ht="12.75">
      <c r="A15" s="1007" t="s">
        <v>687</v>
      </c>
      <c r="B15" s="1019">
        <v>0.05</v>
      </c>
      <c r="C15" s="1020">
        <v>28.21</v>
      </c>
      <c r="D15" s="1020">
        <f>$B$15*$C$15</f>
        <v>1.4105000000000001</v>
      </c>
      <c r="E15" s="1023">
        <f>$C$15*$E$14</f>
        <v>14.105</v>
      </c>
      <c r="F15" s="1024">
        <f>$C$15-$C$15*$F$14</f>
        <v>8.463000000000001</v>
      </c>
    </row>
    <row r="16" spans="1:8" s="438" customFormat="1" ht="12.75">
      <c r="A16" s="1007" t="s">
        <v>686</v>
      </c>
      <c r="B16" s="1019">
        <v>0.35493701524170274</v>
      </c>
      <c r="C16" s="1020">
        <v>24.64</v>
      </c>
      <c r="D16" s="1020">
        <f>$B$16*$C$16</f>
        <v>8.7456480555555558</v>
      </c>
      <c r="E16" s="1023">
        <f>$C$16*$E$14</f>
        <v>12.32</v>
      </c>
      <c r="F16" s="1024">
        <f>$C$16-$C$16*$F$14</f>
        <v>7.392000000000003</v>
      </c>
    </row>
    <row r="17" spans="1:6" s="438" customFormat="1" ht="12.75">
      <c r="A17" s="1007" t="s">
        <v>685</v>
      </c>
      <c r="B17" s="1019">
        <v>0.52286656460685033</v>
      </c>
      <c r="C17" s="1020">
        <v>1.4</v>
      </c>
      <c r="D17" s="1020">
        <f>$B$17*$C$17</f>
        <v>0.73201319044959046</v>
      </c>
      <c r="E17" s="1008" t="s">
        <v>773</v>
      </c>
      <c r="F17" s="1009" t="s">
        <v>773</v>
      </c>
    </row>
    <row r="18" spans="1:6" s="438" customFormat="1" ht="26.25" thickBot="1">
      <c r="A18" s="605" t="s">
        <v>891</v>
      </c>
      <c r="B18" s="1019">
        <v>7.2196420151446977E-2</v>
      </c>
      <c r="C18" s="1020">
        <v>20.207967217851401</v>
      </c>
      <c r="D18" s="1020">
        <f>$B$18*$C$18</f>
        <v>1.4589428916666667</v>
      </c>
      <c r="E18" s="1008" t="s">
        <v>773</v>
      </c>
      <c r="F18" s="1009" t="s">
        <v>773</v>
      </c>
    </row>
    <row r="19" spans="1:6" s="438" customFormat="1" ht="13.5" thickBot="1">
      <c r="A19" s="1010" t="s">
        <v>774</v>
      </c>
      <c r="B19" s="1011">
        <f>SUM($B$15:$B$18)</f>
        <v>1</v>
      </c>
      <c r="C19" s="1012"/>
      <c r="D19" s="1025">
        <f>SUM($D$15:$D$18)</f>
        <v>12.347104137671813</v>
      </c>
      <c r="E19" s="1026">
        <v>7.269030109894036</v>
      </c>
      <c r="F19" s="1027">
        <v>5.2378004987829243</v>
      </c>
    </row>
    <row r="20" spans="1:6" ht="30.75" customHeight="1" thickTop="1"/>
    <row r="21" spans="1:6">
      <c r="A21" s="468" t="s">
        <v>626</v>
      </c>
    </row>
    <row r="22" spans="1:6" ht="15.75" thickBot="1"/>
    <row r="23" spans="1:6" ht="64.5" thickBot="1">
      <c r="A23" s="1013" t="s">
        <v>627</v>
      </c>
      <c r="B23" s="1028">
        <v>0.3</v>
      </c>
    </row>
    <row r="24" spans="1:6" ht="15.75" thickBot="1">
      <c r="A24" s="1014" t="s">
        <v>641</v>
      </c>
      <c r="B24" s="1029">
        <v>115</v>
      </c>
    </row>
  </sheetData>
  <sheetProtection password="C7D8" sheet="1" objects="1" scenarios="1"/>
  <mergeCells count="2">
    <mergeCell ref="B13:B14"/>
    <mergeCell ref="A13:A14"/>
  </mergeCells>
  <phoneticPr fontId="4" type="noConversion"/>
  <pageMargins left="0.75" right="0.75" top="1" bottom="1" header="0.5" footer="0.5"/>
  <pageSetup paperSize="9" orientation="portrait" r:id="rId1"/>
  <headerFooter alignWithMargins="0"/>
  <ignoredErrors>
    <ignoredError sqref="D15:D19 E15:E16 F15:F16" unlockedFormula="1"/>
  </ignoredErrors>
</worksheet>
</file>

<file path=xl/worksheets/sheet17.xml><?xml version="1.0" encoding="utf-8"?>
<worksheet xmlns="http://schemas.openxmlformats.org/spreadsheetml/2006/main" xmlns:r="http://schemas.openxmlformats.org/officeDocument/2006/relationships">
  <sheetPr codeName="Sheet15" enableFormatConditionsCalculation="0">
    <tabColor indexed="34"/>
    <pageSetUpPr autoPageBreaks="0" fitToPage="1"/>
  </sheetPr>
  <dimension ref="A1:I44"/>
  <sheetViews>
    <sheetView showGridLines="0" showRowColHeaders="0" workbookViewId="0">
      <selection activeCell="H10" sqref="H10"/>
    </sheetView>
  </sheetViews>
  <sheetFormatPr defaultRowHeight="12.75"/>
  <cols>
    <col min="1" max="1" width="5" style="488" customWidth="1"/>
    <col min="2" max="2" width="44.77734375" style="500" customWidth="1"/>
    <col min="3" max="3" width="8.6640625" style="500" customWidth="1"/>
    <col min="4" max="4" width="9.44140625" style="493" customWidth="1"/>
    <col min="5" max="5" width="10.21875" style="494" customWidth="1"/>
    <col min="6" max="6" width="13.88671875" style="494" customWidth="1"/>
    <col min="7" max="7" width="10.21875" style="494" customWidth="1"/>
    <col min="8" max="8" width="11.44140625" style="493" customWidth="1"/>
    <col min="9" max="9" width="8.5546875" style="493" customWidth="1"/>
    <col min="10" max="16384" width="8.88671875" style="488"/>
  </cols>
  <sheetData>
    <row r="1" spans="1:9" ht="110.25" customHeight="1">
      <c r="A1" s="1307" t="s">
        <v>801</v>
      </c>
      <c r="B1" s="1307"/>
      <c r="C1" s="1307"/>
      <c r="D1" s="1307"/>
      <c r="E1" s="1307"/>
      <c r="F1" s="1307"/>
      <c r="G1" s="1307"/>
      <c r="H1" s="1307"/>
      <c r="I1" s="677"/>
    </row>
    <row r="2" spans="1:9" ht="15.75">
      <c r="A2" s="1364" t="s">
        <v>679</v>
      </c>
      <c r="B2" s="1364"/>
      <c r="C2" s="335"/>
      <c r="D2" s="678"/>
      <c r="E2" s="679"/>
      <c r="F2" s="679"/>
      <c r="G2" s="679"/>
      <c r="H2" s="678"/>
      <c r="I2" s="678"/>
    </row>
    <row r="3" spans="1:9" ht="15.75">
      <c r="A3" s="680"/>
      <c r="B3" s="422"/>
      <c r="C3" s="422"/>
      <c r="D3" s="336"/>
      <c r="E3" s="681"/>
      <c r="F3" s="681"/>
      <c r="G3" s="681"/>
      <c r="H3" s="336"/>
      <c r="I3" s="336"/>
    </row>
    <row r="4" spans="1:9" ht="27" thickBot="1">
      <c r="A4" s="680"/>
      <c r="B4" s="496" t="s">
        <v>681</v>
      </c>
      <c r="C4" s="341"/>
      <c r="D4" s="678"/>
      <c r="E4" s="679"/>
      <c r="F4" s="679"/>
      <c r="G4" s="679"/>
      <c r="H4" s="678"/>
      <c r="I4" s="678"/>
    </row>
    <row r="5" spans="1:9" ht="28.5" customHeight="1">
      <c r="B5" s="496" t="s">
        <v>680</v>
      </c>
      <c r="C5" s="1458" t="s">
        <v>688</v>
      </c>
      <c r="D5" s="1459"/>
      <c r="E5" s="1460"/>
      <c r="F5" s="1464" t="s">
        <v>97</v>
      </c>
      <c r="G5" s="682" t="str">
        <f>'STEP 1.Select NHS Board'!B7</f>
        <v>Select NHS board</v>
      </c>
      <c r="H5" s="683"/>
      <c r="I5" s="684"/>
    </row>
    <row r="6" spans="1:9" ht="15.75" customHeight="1" thickBot="1">
      <c r="C6" s="1461"/>
      <c r="D6" s="1462"/>
      <c r="E6" s="1463"/>
      <c r="F6" s="1465"/>
      <c r="G6" s="501"/>
      <c r="H6" s="502"/>
      <c r="I6" s="503"/>
    </row>
    <row r="7" spans="1:9" ht="27" customHeight="1" thickBot="1">
      <c r="A7" s="350" t="s">
        <v>682</v>
      </c>
      <c r="B7" s="504"/>
      <c r="C7" s="505" t="s">
        <v>815</v>
      </c>
      <c r="D7" s="506" t="s">
        <v>816</v>
      </c>
      <c r="E7" s="507" t="s">
        <v>817</v>
      </c>
      <c r="F7" s="1466"/>
      <c r="G7" s="505" t="s">
        <v>815</v>
      </c>
      <c r="H7" s="506" t="s">
        <v>816</v>
      </c>
      <c r="I7" s="685" t="s">
        <v>817</v>
      </c>
    </row>
    <row r="8" spans="1:9" s="493" customFormat="1" ht="30.75" customHeight="1">
      <c r="A8" s="431"/>
      <c r="B8" s="508"/>
      <c r="C8" s="509"/>
      <c r="D8" s="431"/>
      <c r="E8" s="261"/>
      <c r="F8" s="686"/>
      <c r="G8" s="1446" t="s">
        <v>684</v>
      </c>
      <c r="H8" s="1447"/>
      <c r="I8" s="1448"/>
    </row>
    <row r="9" spans="1:9">
      <c r="A9" s="443"/>
      <c r="B9" s="687" t="s">
        <v>96</v>
      </c>
      <c r="C9" s="688"/>
      <c r="D9" s="689"/>
      <c r="E9" s="690"/>
      <c r="F9" s="691"/>
      <c r="G9" s="690"/>
      <c r="H9" s="689"/>
      <c r="I9" s="514"/>
    </row>
    <row r="10" spans="1:9" ht="25.5">
      <c r="A10" s="1279">
        <v>1</v>
      </c>
      <c r="B10" s="692" t="s">
        <v>56</v>
      </c>
      <c r="C10" s="693"/>
      <c r="D10" s="416">
        <f>'Unit costs DES'!$D$9</f>
        <v>691.61400000000003</v>
      </c>
      <c r="E10" s="694"/>
      <c r="F10" s="723" t="s">
        <v>81</v>
      </c>
      <c r="G10" s="695"/>
      <c r="H10" s="417">
        <f>+IF($F$10="Select catheterisation centre",0,VLOOKUP($F$10,'Unit costs DES'!$A$3:$D$17,4,0))</f>
        <v>97.225999999999999</v>
      </c>
      <c r="I10" s="696"/>
    </row>
    <row r="11" spans="1:9">
      <c r="A11" s="1438">
        <v>2</v>
      </c>
      <c r="B11" s="515" t="s">
        <v>53</v>
      </c>
      <c r="C11" s="452"/>
      <c r="D11" s="665">
        <f>'Unit costs DES'!$B$14</f>
        <v>1.7</v>
      </c>
      <c r="E11" s="261"/>
      <c r="F11" s="686"/>
      <c r="G11" s="259"/>
      <c r="H11" s="676">
        <f>'Unit costs DES'!$B$14</f>
        <v>1.7</v>
      </c>
      <c r="I11" s="516"/>
    </row>
    <row r="12" spans="1:9">
      <c r="A12" s="1438"/>
      <c r="B12" s="515" t="s">
        <v>55</v>
      </c>
      <c r="C12" s="452"/>
      <c r="D12" s="260">
        <f>$D$10*$D$11</f>
        <v>1175.7438</v>
      </c>
      <c r="E12" s="261"/>
      <c r="F12" s="686"/>
      <c r="G12" s="259"/>
      <c r="H12" s="260">
        <f>$H$10*$H$11</f>
        <v>165.2842</v>
      </c>
      <c r="I12" s="516"/>
    </row>
    <row r="13" spans="1:9">
      <c r="A13" s="1438"/>
      <c r="B13" s="515" t="s">
        <v>89</v>
      </c>
      <c r="C13" s="518"/>
      <c r="D13" s="444">
        <f>'Unit costs DES'!$B$15</f>
        <v>0.46200000000000002</v>
      </c>
      <c r="E13" s="261"/>
      <c r="F13" s="686"/>
      <c r="G13" s="259"/>
      <c r="H13" s="490">
        <f>'Unit costs DES'!$B$15</f>
        <v>0.46200000000000002</v>
      </c>
      <c r="I13" s="516"/>
    </row>
    <row r="14" spans="1:9">
      <c r="A14" s="443"/>
      <c r="B14" s="515" t="s">
        <v>87</v>
      </c>
      <c r="C14" s="452"/>
      <c r="D14" s="697">
        <f>$D$12*$D$13</f>
        <v>543.19363559999999</v>
      </c>
      <c r="E14" s="261"/>
      <c r="F14" s="686"/>
      <c r="G14" s="259"/>
      <c r="H14" s="697">
        <f>$H$12*$H$13</f>
        <v>76.361300400000005</v>
      </c>
      <c r="I14" s="516"/>
    </row>
    <row r="15" spans="1:9" ht="13.5" customHeight="1">
      <c r="A15" s="443"/>
      <c r="B15" s="515" t="s">
        <v>86</v>
      </c>
      <c r="C15" s="452"/>
      <c r="D15" s="260">
        <f>$D$12-$D$14</f>
        <v>632.55016439999997</v>
      </c>
      <c r="E15" s="261"/>
      <c r="F15" s="686"/>
      <c r="G15" s="259"/>
      <c r="H15" s="260">
        <f>$H$12-$H$14</f>
        <v>88.922899599999994</v>
      </c>
      <c r="I15" s="516"/>
    </row>
    <row r="16" spans="1:9">
      <c r="A16" s="443"/>
      <c r="B16" s="515"/>
      <c r="C16" s="452"/>
      <c r="D16" s="444"/>
      <c r="E16" s="261"/>
      <c r="F16" s="686"/>
      <c r="G16" s="259"/>
      <c r="H16" s="444"/>
      <c r="I16" s="516"/>
    </row>
    <row r="17" spans="1:9">
      <c r="A17" s="1278">
        <v>3</v>
      </c>
      <c r="B17" s="698" t="s">
        <v>91</v>
      </c>
      <c r="C17" s="699">
        <f>'Unit costs DES'!$B$16</f>
        <v>255</v>
      </c>
      <c r="D17" s="444"/>
      <c r="E17" s="261"/>
      <c r="F17" s="686"/>
      <c r="G17" s="576">
        <f>'Unit costs DES'!$B$16</f>
        <v>255</v>
      </c>
      <c r="H17" s="444"/>
      <c r="I17" s="516"/>
    </row>
    <row r="18" spans="1:9">
      <c r="A18" s="443"/>
      <c r="B18" s="700" t="s">
        <v>95</v>
      </c>
      <c r="C18" s="701"/>
      <c r="D18" s="702"/>
      <c r="E18" s="703">
        <f>$C$17*$D$15</f>
        <v>161300.291922</v>
      </c>
      <c r="F18" s="704"/>
      <c r="G18" s="705"/>
      <c r="H18" s="702"/>
      <c r="I18" s="703">
        <f>$G$17*$H$15</f>
        <v>22675.339398</v>
      </c>
    </row>
    <row r="19" spans="1:9">
      <c r="A19" s="1278">
        <v>4</v>
      </c>
      <c r="B19" s="515" t="s">
        <v>98</v>
      </c>
      <c r="C19" s="518"/>
      <c r="D19" s="444">
        <f>'Unit costs DES'!$B$17</f>
        <v>0.75</v>
      </c>
      <c r="E19" s="261"/>
      <c r="F19" s="686"/>
      <c r="G19" s="259"/>
      <c r="H19" s="490">
        <f>'Unit costs DES'!$B$17</f>
        <v>0.75</v>
      </c>
      <c r="I19" s="516"/>
    </row>
    <row r="20" spans="1:9">
      <c r="A20" s="443"/>
      <c r="B20" s="515" t="s">
        <v>99</v>
      </c>
      <c r="C20" s="518"/>
      <c r="D20" s="444">
        <f>1-$D$19</f>
        <v>0.25</v>
      </c>
      <c r="E20" s="261"/>
      <c r="F20" s="686"/>
      <c r="G20" s="259"/>
      <c r="H20" s="490">
        <f>1-$H$19</f>
        <v>0.25</v>
      </c>
      <c r="I20" s="516"/>
    </row>
    <row r="21" spans="1:9" ht="13.5" customHeight="1">
      <c r="A21" s="443"/>
      <c r="B21" s="515" t="s">
        <v>87</v>
      </c>
      <c r="C21" s="452"/>
      <c r="D21" s="260">
        <f>$D$12*$D$19</f>
        <v>881.80784999999992</v>
      </c>
      <c r="E21" s="261"/>
      <c r="F21" s="686"/>
      <c r="G21" s="259"/>
      <c r="H21" s="260">
        <f>$H$12*$H$19</f>
        <v>123.96315</v>
      </c>
      <c r="I21" s="516"/>
    </row>
    <row r="22" spans="1:9">
      <c r="A22" s="443"/>
      <c r="B22" s="515" t="s">
        <v>92</v>
      </c>
      <c r="C22" s="452"/>
      <c r="D22" s="697">
        <f>$D$12*$D$20</f>
        <v>293.93594999999999</v>
      </c>
      <c r="E22" s="261"/>
      <c r="F22" s="686"/>
      <c r="G22" s="259"/>
      <c r="H22" s="697">
        <f>$H$12*$H$20</f>
        <v>41.32105</v>
      </c>
      <c r="I22" s="516"/>
    </row>
    <row r="23" spans="1:9">
      <c r="A23" s="443"/>
      <c r="B23" s="515"/>
      <c r="C23" s="452"/>
      <c r="D23" s="444"/>
      <c r="E23" s="261"/>
      <c r="F23" s="686"/>
      <c r="G23" s="259"/>
      <c r="H23" s="444"/>
      <c r="I23" s="516"/>
    </row>
    <row r="24" spans="1:9">
      <c r="A24" s="443"/>
      <c r="B24" s="706" t="s">
        <v>88</v>
      </c>
      <c r="C24" s="699">
        <f>'Unit costs DES'!$B$16</f>
        <v>255</v>
      </c>
      <c r="D24" s="444"/>
      <c r="E24" s="261"/>
      <c r="F24" s="686"/>
      <c r="G24" s="576">
        <f>'Unit costs DES'!$B$16</f>
        <v>255</v>
      </c>
      <c r="H24" s="444"/>
      <c r="I24" s="516"/>
    </row>
    <row r="25" spans="1:9">
      <c r="A25" s="443"/>
      <c r="B25" s="706"/>
      <c r="C25" s="699"/>
      <c r="D25" s="444"/>
      <c r="E25" s="261"/>
      <c r="F25" s="686"/>
      <c r="G25" s="532"/>
      <c r="H25" s="444"/>
      <c r="I25" s="516"/>
    </row>
    <row r="26" spans="1:9">
      <c r="A26" s="443"/>
      <c r="B26" s="707" t="s">
        <v>100</v>
      </c>
      <c r="C26" s="708"/>
      <c r="D26" s="709"/>
      <c r="E26" s="512"/>
      <c r="F26" s="691"/>
      <c r="G26" s="710"/>
      <c r="H26" s="709"/>
      <c r="I26" s="514"/>
    </row>
    <row r="27" spans="1:9">
      <c r="A27" s="443"/>
      <c r="B27" s="515" t="s">
        <v>51</v>
      </c>
      <c r="C27" s="452"/>
      <c r="D27" s="260">
        <f>'STEP 1.Select NHS Board'!$B$25</f>
        <v>228004</v>
      </c>
      <c r="E27" s="261"/>
      <c r="F27" s="691"/>
      <c r="G27" s="259"/>
      <c r="H27" s="298">
        <f>+IF($G$5="Select NHS board",0,VLOOKUP($G$5,'STEP 1.Select NHS Board'!$A$8:$O$25,2,0))</f>
        <v>0</v>
      </c>
      <c r="I27" s="241"/>
    </row>
    <row r="28" spans="1:9">
      <c r="A28" s="443"/>
      <c r="B28" s="515" t="s">
        <v>93</v>
      </c>
      <c r="C28" s="452"/>
      <c r="D28" s="444">
        <f>'STEP 1.Select NHS Board'!$C$25</f>
        <v>1.0000000000000002</v>
      </c>
      <c r="E28" s="261"/>
      <c r="F28" s="686"/>
      <c r="G28" s="259"/>
      <c r="H28" s="490">
        <f>+IF($G$5="Select NHS board",0,VLOOKUP($G$5,'STEP 1.Select NHS Board'!$A$8:$O$25,3,0))</f>
        <v>0</v>
      </c>
      <c r="I28" s="261"/>
    </row>
    <row r="29" spans="1:9" ht="13.5" thickBot="1">
      <c r="A29" s="443"/>
      <c r="B29" s="517"/>
      <c r="C29" s="699"/>
      <c r="D29" s="444"/>
      <c r="E29" s="315"/>
      <c r="F29" s="691"/>
      <c r="G29" s="259"/>
      <c r="H29" s="444"/>
      <c r="I29" s="261"/>
    </row>
    <row r="30" spans="1:9" ht="13.5" thickBot="1">
      <c r="A30" s="443"/>
      <c r="B30" s="711" t="s">
        <v>101</v>
      </c>
      <c r="C30" s="712"/>
      <c r="D30" s="713"/>
      <c r="E30" s="714">
        <f>$C$24*$D$22</f>
        <v>74953.667249999999</v>
      </c>
      <c r="F30" s="714"/>
      <c r="G30" s="714"/>
      <c r="H30" s="715"/>
      <c r="I30" s="716">
        <f>$E$30*$H$28</f>
        <v>0</v>
      </c>
    </row>
    <row r="32" spans="1:9">
      <c r="A32" s="1261" t="s">
        <v>151</v>
      </c>
      <c r="B32" s="1249" t="s">
        <v>152</v>
      </c>
    </row>
    <row r="34" spans="1:9" ht="28.5" customHeight="1">
      <c r="A34" s="1281">
        <v>1</v>
      </c>
      <c r="B34" s="1434" t="s">
        <v>884</v>
      </c>
      <c r="C34" s="1434"/>
      <c r="D34" s="1434"/>
      <c r="E34" s="1434"/>
      <c r="F34" s="1434"/>
      <c r="G34" s="1434"/>
      <c r="H34" s="1434"/>
      <c r="I34" s="1434"/>
    </row>
    <row r="35" spans="1:9" ht="34.5" customHeight="1">
      <c r="A35" s="1281">
        <v>2</v>
      </c>
      <c r="B35" s="1434" t="s">
        <v>885</v>
      </c>
      <c r="C35" s="1434"/>
      <c r="D35" s="1434"/>
      <c r="E35" s="1434"/>
      <c r="F35" s="1434"/>
      <c r="G35" s="1434"/>
      <c r="H35" s="1434"/>
      <c r="I35" s="1434"/>
    </row>
    <row r="36" spans="1:9" ht="25.5" customHeight="1">
      <c r="A36" s="1281">
        <v>3</v>
      </c>
      <c r="B36" s="1434" t="s">
        <v>886</v>
      </c>
      <c r="C36" s="1434"/>
      <c r="D36" s="1434"/>
      <c r="E36" s="1434"/>
      <c r="F36" s="1434"/>
      <c r="G36" s="1434"/>
      <c r="H36" s="1434"/>
      <c r="I36" s="1434"/>
    </row>
    <row r="37" spans="1:9" ht="21.75" customHeight="1">
      <c r="A37" s="1281">
        <v>4</v>
      </c>
      <c r="B37" s="1434" t="s">
        <v>887</v>
      </c>
      <c r="C37" s="1434"/>
      <c r="D37" s="1434"/>
      <c r="E37" s="1434"/>
      <c r="F37" s="1434"/>
      <c r="G37" s="1434"/>
      <c r="H37" s="1434"/>
      <c r="I37" s="1434"/>
    </row>
    <row r="38" spans="1:9">
      <c r="B38" s="721" t="s">
        <v>94</v>
      </c>
    </row>
    <row r="39" spans="1:9">
      <c r="B39" s="722" t="s">
        <v>60</v>
      </c>
    </row>
    <row r="40" spans="1:9">
      <c r="B40" s="722" t="s">
        <v>61</v>
      </c>
    </row>
    <row r="41" spans="1:9">
      <c r="B41" s="722" t="s">
        <v>79</v>
      </c>
    </row>
    <row r="42" spans="1:9">
      <c r="B42" s="722" t="s">
        <v>80</v>
      </c>
    </row>
    <row r="43" spans="1:9">
      <c r="B43" s="722" t="s">
        <v>81</v>
      </c>
    </row>
    <row r="44" spans="1:9">
      <c r="B44" s="717"/>
    </row>
  </sheetData>
  <sheetProtection password="C7D8" sheet="1" objects="1" scenarios="1"/>
  <mergeCells count="10">
    <mergeCell ref="B35:I35"/>
    <mergeCell ref="A11:A13"/>
    <mergeCell ref="B36:I36"/>
    <mergeCell ref="B37:I37"/>
    <mergeCell ref="A1:H1"/>
    <mergeCell ref="C5:E6"/>
    <mergeCell ref="G8:I8"/>
    <mergeCell ref="F5:F7"/>
    <mergeCell ref="A2:B2"/>
    <mergeCell ref="B34:I34"/>
  </mergeCells>
  <phoneticPr fontId="4" type="noConversion"/>
  <dataValidations count="3">
    <dataValidation type="list" allowBlank="1" showInputMessage="1" showErrorMessage="1" sqref="F10">
      <formula1>$B$38:$B$43</formula1>
    </dataValidation>
    <dataValidation allowBlank="1" showInputMessage="1" showErrorMessage="1" promptTitle="NHS board selected" prompt="'Select Health board' will change to NHS board selected in STEP 1.  Costs are based on the NHS board selected in step 1. " sqref="G5"/>
    <dataValidation allowBlank="1" showInputMessage="1" showErrorMessage="1" promptTitle="Notes" prompt="_x000a_Click on a number below to be provided with a information relating to the corresponding part of the model." sqref="A7"/>
  </dataValidations>
  <hyperlinks>
    <hyperlink ref="A10" location="'STEP 2.Drug-eluting stents'!A34" display="'STEP 2.Drug-eluting stents'!A34"/>
    <hyperlink ref="A11" location="'STEP 2.Drug-eluting stents'!A35" display="'STEP 2.Drug-eluting stents'!A35"/>
    <hyperlink ref="A17" location="'STEP 2.Drug-eluting stents'!A36" display="'STEP 2.Drug-eluting stents'!A36"/>
    <hyperlink ref="A19" location="'STEP 2.Drug-eluting stents'!A37" display="'STEP 2.Drug-eluting stents'!A37"/>
  </hyperlinks>
  <pageMargins left="0.75" right="0.75" top="1" bottom="1" header="0.5" footer="0.5"/>
  <pageSetup paperSize="8" scale="61" orientation="portrait" r:id="rId1"/>
  <headerFooter alignWithMargins="0"/>
  <ignoredErrors>
    <ignoredError sqref="H27:H28 G17 G24 H13 H10:H11 H19:H20" unlockedFormula="1"/>
  </ignoredErrors>
  <drawing r:id="rId2"/>
</worksheet>
</file>

<file path=xl/worksheets/sheet18.xml><?xml version="1.0" encoding="utf-8"?>
<worksheet xmlns="http://schemas.openxmlformats.org/spreadsheetml/2006/main" xmlns:r="http://schemas.openxmlformats.org/officeDocument/2006/relationships">
  <sheetPr codeName="Sheet7">
    <pageSetUpPr autoPageBreaks="0"/>
  </sheetPr>
  <dimension ref="A1:D17"/>
  <sheetViews>
    <sheetView showGridLines="0" showRowColHeaders="0" workbookViewId="0">
      <selection activeCell="A16" sqref="A16"/>
    </sheetView>
  </sheetViews>
  <sheetFormatPr defaultRowHeight="15"/>
  <cols>
    <col min="1" max="1" width="27.109375" style="332" bestFit="1" customWidth="1"/>
    <col min="2" max="2" width="16.5546875" style="332" bestFit="1" customWidth="1"/>
    <col min="3" max="3" width="16.44140625" style="332" bestFit="1" customWidth="1"/>
    <col min="4" max="16384" width="8.88671875" style="332"/>
  </cols>
  <sheetData>
    <row r="1" spans="1:4" s="604" customFormat="1" ht="33" customHeight="1" thickBot="1">
      <c r="A1" s="1169" t="s">
        <v>113</v>
      </c>
    </row>
    <row r="2" spans="1:4" ht="16.5" thickBot="1">
      <c r="B2" s="1467" t="s">
        <v>894</v>
      </c>
      <c r="C2" s="1468"/>
      <c r="D2" s="1469"/>
    </row>
    <row r="3" spans="1:4" ht="32.25" thickBot="1">
      <c r="A3" s="1113" t="s">
        <v>57</v>
      </c>
      <c r="B3" s="1114" t="s">
        <v>58</v>
      </c>
      <c r="C3" s="1114" t="s">
        <v>59</v>
      </c>
      <c r="D3" s="1115" t="s">
        <v>676</v>
      </c>
    </row>
    <row r="4" spans="1:4">
      <c r="A4" s="1116" t="s">
        <v>60</v>
      </c>
      <c r="B4" s="1123">
        <v>151.28299999999999</v>
      </c>
      <c r="C4" s="1123">
        <v>111.32099999999998</v>
      </c>
      <c r="D4" s="1124">
        <f>SUM(B4:C4)</f>
        <v>262.60399999999998</v>
      </c>
    </row>
    <row r="5" spans="1:4">
      <c r="A5" s="1092" t="s">
        <v>61</v>
      </c>
      <c r="B5" s="1125">
        <v>129</v>
      </c>
      <c r="C5" s="1125">
        <v>119</v>
      </c>
      <c r="D5" s="1126">
        <f>SUM(B5:C5)</f>
        <v>248</v>
      </c>
    </row>
    <row r="6" spans="1:4">
      <c r="A6" s="1092" t="s">
        <v>79</v>
      </c>
      <c r="B6" s="1125">
        <v>18</v>
      </c>
      <c r="C6" s="1125">
        <v>23</v>
      </c>
      <c r="D6" s="1126">
        <f>SUM(B6:C6)</f>
        <v>41</v>
      </c>
    </row>
    <row r="7" spans="1:4">
      <c r="A7" s="1092" t="s">
        <v>80</v>
      </c>
      <c r="B7" s="1125">
        <v>22.783999999999999</v>
      </c>
      <c r="C7" s="1125">
        <v>20</v>
      </c>
      <c r="D7" s="1126">
        <f>SUM(B7:C7)</f>
        <v>42.783999999999999</v>
      </c>
    </row>
    <row r="8" spans="1:4" ht="15.75" thickBot="1">
      <c r="A8" s="1093" t="s">
        <v>81</v>
      </c>
      <c r="B8" s="1127">
        <v>52.135999999999996</v>
      </c>
      <c r="C8" s="1127">
        <v>45.09</v>
      </c>
      <c r="D8" s="1128">
        <f>SUM(B8:C8)</f>
        <v>97.225999999999999</v>
      </c>
    </row>
    <row r="9" spans="1:4">
      <c r="A9" s="1117" t="s">
        <v>82</v>
      </c>
      <c r="B9" s="1129">
        <f>SUM(B4:B8)</f>
        <v>373.20299999999997</v>
      </c>
      <c r="C9" s="1129">
        <f>SUM(C4:C8)</f>
        <v>318.41099999999994</v>
      </c>
      <c r="D9" s="1130">
        <f>SUM(D4:D8)</f>
        <v>691.61400000000003</v>
      </c>
    </row>
    <row r="10" spans="1:4">
      <c r="A10" s="1117" t="s">
        <v>83</v>
      </c>
      <c r="B10" s="300">
        <v>2384</v>
      </c>
      <c r="C10" s="300">
        <v>1889</v>
      </c>
      <c r="D10" s="1131">
        <v>4273</v>
      </c>
    </row>
    <row r="11" spans="1:4" ht="15.75" thickBot="1">
      <c r="A11" s="1118" t="s">
        <v>84</v>
      </c>
      <c r="B11" s="1132">
        <v>0.15654488255033555</v>
      </c>
      <c r="C11" s="1132">
        <v>0.16856061408152459</v>
      </c>
      <c r="D11" s="996">
        <v>0.16185677509946172</v>
      </c>
    </row>
    <row r="12" spans="1:4" ht="15.75" thickBot="1"/>
    <row r="13" spans="1:4" ht="38.25">
      <c r="A13" s="1119" t="s">
        <v>52</v>
      </c>
      <c r="B13" s="1134">
        <v>0.16</v>
      </c>
    </row>
    <row r="14" spans="1:4">
      <c r="A14" s="1120" t="s">
        <v>54</v>
      </c>
      <c r="B14" s="1110">
        <v>1.7</v>
      </c>
    </row>
    <row r="15" spans="1:4">
      <c r="A15" s="1120" t="s">
        <v>85</v>
      </c>
      <c r="B15" s="1111">
        <v>0.46200000000000002</v>
      </c>
    </row>
    <row r="16" spans="1:4" ht="25.5">
      <c r="A16" s="1121" t="s">
        <v>88</v>
      </c>
      <c r="B16" s="1133">
        <v>255</v>
      </c>
    </row>
    <row r="17" spans="1:2" ht="26.25" thickBot="1">
      <c r="A17" s="1122" t="s">
        <v>90</v>
      </c>
      <c r="B17" s="1112">
        <v>0.75</v>
      </c>
    </row>
  </sheetData>
  <sheetProtection password="C7D8" sheet="1" objects="1" scenarios="1"/>
  <mergeCells count="1">
    <mergeCell ref="B2:D2"/>
  </mergeCells>
  <phoneticPr fontId="4" type="noConversion"/>
  <pageMargins left="0.75" right="0.75" top="1" bottom="1" header="0.5" footer="0.5"/>
  <pageSetup paperSize="9" orientation="portrait" r:id="rId1"/>
  <headerFooter alignWithMargins="0"/>
  <ignoredErrors>
    <ignoredError sqref="D4:D8 B9:D11" unlockedFormula="1"/>
  </ignoredErrors>
</worksheet>
</file>

<file path=xl/worksheets/sheet19.xml><?xml version="1.0" encoding="utf-8"?>
<worksheet xmlns="http://schemas.openxmlformats.org/spreadsheetml/2006/main" xmlns:r="http://schemas.openxmlformats.org/officeDocument/2006/relationships">
  <sheetPr codeName="Sheet5">
    <pageSetUpPr fitToPage="1"/>
  </sheetPr>
  <dimension ref="A1:T21"/>
  <sheetViews>
    <sheetView showRowColHeaders="0" workbookViewId="0">
      <selection activeCell="B21" sqref="B21"/>
    </sheetView>
  </sheetViews>
  <sheetFormatPr defaultColWidth="7.109375" defaultRowHeight="12.75"/>
  <cols>
    <col min="1" max="1" width="22.44140625" style="45" customWidth="1"/>
    <col min="2" max="6" width="7.109375" style="45"/>
    <col min="7" max="7" width="7.5546875" style="45" customWidth="1"/>
    <col min="8" max="8" width="8.109375" style="45" customWidth="1"/>
    <col min="9" max="9" width="8.6640625" style="45" customWidth="1"/>
    <col min="10" max="17" width="7.109375" style="45"/>
    <col min="18" max="18" width="14.44140625" style="45" customWidth="1"/>
    <col min="19" max="16384" width="7.109375" style="45"/>
  </cols>
  <sheetData>
    <row r="1" spans="1:20">
      <c r="A1" s="65" t="s">
        <v>745</v>
      </c>
    </row>
    <row r="2" spans="1:20" ht="13.5" thickBot="1"/>
    <row r="3" spans="1:20" ht="51.75" customHeight="1" thickTop="1" thickBot="1">
      <c r="A3" s="1478" t="s">
        <v>680</v>
      </c>
      <c r="B3" s="1480" t="s">
        <v>661</v>
      </c>
      <c r="C3" s="1482" t="s">
        <v>690</v>
      </c>
      <c r="D3" s="1484" t="s">
        <v>691</v>
      </c>
      <c r="E3" s="1482" t="s">
        <v>692</v>
      </c>
      <c r="F3" s="1472" t="s">
        <v>695</v>
      </c>
      <c r="G3" s="1475" t="s">
        <v>697</v>
      </c>
      <c r="H3" s="1476"/>
      <c r="I3" s="1477"/>
      <c r="J3" s="1472" t="s">
        <v>698</v>
      </c>
      <c r="K3" s="1472" t="s">
        <v>225</v>
      </c>
      <c r="L3" s="1474" t="s">
        <v>736</v>
      </c>
      <c r="M3" s="1321"/>
      <c r="N3" s="1322"/>
      <c r="O3" s="1474" t="s">
        <v>737</v>
      </c>
      <c r="P3" s="1321"/>
      <c r="Q3" s="1321"/>
      <c r="R3" s="1470" t="s">
        <v>738</v>
      </c>
      <c r="S3" s="1470" t="s">
        <v>739</v>
      </c>
      <c r="T3" s="1470" t="s">
        <v>741</v>
      </c>
    </row>
    <row r="4" spans="1:20" ht="39" thickBot="1">
      <c r="A4" s="1479"/>
      <c r="B4" s="1481"/>
      <c r="C4" s="1483"/>
      <c r="D4" s="1485"/>
      <c r="E4" s="1483"/>
      <c r="F4" s="1473"/>
      <c r="G4" s="59" t="s">
        <v>349</v>
      </c>
      <c r="H4" s="60" t="s">
        <v>350</v>
      </c>
      <c r="I4" s="60" t="s">
        <v>351</v>
      </c>
      <c r="J4" s="1473"/>
      <c r="K4" s="1473"/>
      <c r="L4" s="175" t="s">
        <v>697</v>
      </c>
      <c r="M4" s="176" t="s">
        <v>698</v>
      </c>
      <c r="N4" s="178" t="s">
        <v>661</v>
      </c>
      <c r="O4" s="175" t="s">
        <v>697</v>
      </c>
      <c r="P4" s="176" t="s">
        <v>698</v>
      </c>
      <c r="Q4" s="150" t="s">
        <v>661</v>
      </c>
      <c r="R4" s="1471"/>
      <c r="S4" s="1471"/>
      <c r="T4" s="1471"/>
    </row>
    <row r="5" spans="1:20">
      <c r="A5" s="46" t="s">
        <v>662</v>
      </c>
      <c r="B5" s="47">
        <v>18067</v>
      </c>
      <c r="C5" s="48">
        <f t="shared" ref="C5:C18" si="0">B5/$B$19</f>
        <v>7.9239837897580739E-2</v>
      </c>
      <c r="D5" s="53">
        <f>B5/$B$19*$D$19</f>
        <v>47.543902738548447</v>
      </c>
      <c r="E5" s="54">
        <f>B5/$B$19*$E$19</f>
        <v>229.79552990298416</v>
      </c>
      <c r="F5" s="55">
        <f>B5/$B$19*$F$19</f>
        <v>18067</v>
      </c>
      <c r="G5" s="50">
        <v>2234</v>
      </c>
      <c r="H5" s="49">
        <f>$H$19/$G$19*G5</f>
        <v>88.422874264625278</v>
      </c>
      <c r="I5" s="51">
        <f>$I$19/$G$19*G5</f>
        <v>2145.5771257353745</v>
      </c>
      <c r="J5" s="52">
        <v>15754</v>
      </c>
      <c r="K5" s="52">
        <f>G5+J5</f>
        <v>17988</v>
      </c>
      <c r="L5" s="177">
        <v>110</v>
      </c>
      <c r="M5" s="179">
        <v>1587</v>
      </c>
      <c r="N5" s="179">
        <f>L5+M5</f>
        <v>1697</v>
      </c>
      <c r="O5" s="177">
        <v>67</v>
      </c>
      <c r="P5" s="179">
        <v>983</v>
      </c>
      <c r="Q5" s="181">
        <f>O5+P5</f>
        <v>1050</v>
      </c>
      <c r="R5" s="183">
        <f>N5+Q5</f>
        <v>2747</v>
      </c>
      <c r="S5" s="183">
        <f>$S$19*B5/$B$19</f>
        <v>27.724830682795037</v>
      </c>
      <c r="T5" s="183">
        <f>R5+S5</f>
        <v>2774.7248306827951</v>
      </c>
    </row>
    <row r="6" spans="1:20">
      <c r="A6" s="46" t="s">
        <v>663</v>
      </c>
      <c r="B6" s="47">
        <v>5137</v>
      </c>
      <c r="C6" s="48">
        <f t="shared" si="0"/>
        <v>2.2530306485851127E-2</v>
      </c>
      <c r="D6" s="53">
        <f t="shared" ref="D6:D18" si="1">B6/$B$19*$D$19</f>
        <v>13.518183891510676</v>
      </c>
      <c r="E6" s="54">
        <f t="shared" ref="E6:E18" si="2">B6/$B$19*$E$19</f>
        <v>65.337888808968273</v>
      </c>
      <c r="F6" s="55">
        <f t="shared" ref="F6:F18" si="3">B6/$B$19*$F$19</f>
        <v>5137</v>
      </c>
      <c r="G6" s="52">
        <v>596</v>
      </c>
      <c r="H6" s="52">
        <f t="shared" ref="H6:H18" si="4">$H$19/$G$19*G6</f>
        <v>23.589987941681589</v>
      </c>
      <c r="I6" s="51">
        <f t="shared" ref="I6:I18" si="5">$I$19/$G$19*G6</f>
        <v>572.41001205831833</v>
      </c>
      <c r="J6" s="52">
        <v>4530</v>
      </c>
      <c r="K6" s="52">
        <f t="shared" ref="K6:K18" si="6">G6+J6</f>
        <v>5126</v>
      </c>
      <c r="L6" s="177">
        <v>30</v>
      </c>
      <c r="M6" s="179">
        <v>451</v>
      </c>
      <c r="N6" s="179">
        <f t="shared" ref="N6:N17" si="7">L6+M6</f>
        <v>481</v>
      </c>
      <c r="O6" s="177">
        <v>13</v>
      </c>
      <c r="P6" s="179">
        <v>295</v>
      </c>
      <c r="Q6" s="181">
        <f t="shared" ref="Q6:Q17" si="8">O6+P6</f>
        <v>308</v>
      </c>
      <c r="R6" s="183">
        <f t="shared" ref="R6:R18" si="9">N6+Q6</f>
        <v>789</v>
      </c>
      <c r="S6" s="183">
        <f t="shared" ref="S6:S18" si="10">$S$19*B6/$B$19</f>
        <v>7.8830162848020207</v>
      </c>
      <c r="T6" s="183">
        <f t="shared" ref="T6:T18" si="11">R6+S6</f>
        <v>796.88301628480201</v>
      </c>
    </row>
    <row r="7" spans="1:20">
      <c r="A7" s="46" t="s">
        <v>664</v>
      </c>
      <c r="B7" s="47">
        <v>7348</v>
      </c>
      <c r="C7" s="48">
        <f t="shared" si="0"/>
        <v>3.2227504780617887E-2</v>
      </c>
      <c r="D7" s="53">
        <f t="shared" si="1"/>
        <v>19.336502868370733</v>
      </c>
      <c r="E7" s="54">
        <f t="shared" si="2"/>
        <v>93.459763863791878</v>
      </c>
      <c r="F7" s="55">
        <f t="shared" si="3"/>
        <v>7348.0000000000009</v>
      </c>
      <c r="G7" s="52">
        <v>871</v>
      </c>
      <c r="H7" s="52">
        <f t="shared" si="4"/>
        <v>34.474630028866883</v>
      </c>
      <c r="I7" s="51">
        <f t="shared" si="5"/>
        <v>836.52536997113305</v>
      </c>
      <c r="J7" s="52">
        <v>6453</v>
      </c>
      <c r="K7" s="52">
        <f t="shared" si="6"/>
        <v>7324</v>
      </c>
      <c r="L7" s="177">
        <v>35</v>
      </c>
      <c r="M7" s="179">
        <v>534</v>
      </c>
      <c r="N7" s="179">
        <f t="shared" si="7"/>
        <v>569</v>
      </c>
      <c r="O7" s="177">
        <v>26</v>
      </c>
      <c r="P7" s="179">
        <v>347</v>
      </c>
      <c r="Q7" s="181">
        <f t="shared" si="8"/>
        <v>373</v>
      </c>
      <c r="R7" s="183">
        <f t="shared" si="9"/>
        <v>942</v>
      </c>
      <c r="S7" s="183">
        <f t="shared" si="10"/>
        <v>11.275920510166488</v>
      </c>
      <c r="T7" s="183">
        <f t="shared" si="11"/>
        <v>953.27592051016654</v>
      </c>
    </row>
    <row r="8" spans="1:20">
      <c r="A8" s="46" t="s">
        <v>665</v>
      </c>
      <c r="B8" s="47">
        <v>16759</v>
      </c>
      <c r="C8" s="48">
        <f t="shared" si="0"/>
        <v>7.3503096436904614E-2</v>
      </c>
      <c r="D8" s="53">
        <f t="shared" si="1"/>
        <v>44.101857862142765</v>
      </c>
      <c r="E8" s="54">
        <f t="shared" si="2"/>
        <v>213.15897966702337</v>
      </c>
      <c r="F8" s="55">
        <f t="shared" si="3"/>
        <v>16759</v>
      </c>
      <c r="G8" s="52">
        <v>1896</v>
      </c>
      <c r="H8" s="52">
        <f t="shared" si="4"/>
        <v>75.044659626557532</v>
      </c>
      <c r="I8" s="51">
        <f t="shared" si="5"/>
        <v>1820.9553403734424</v>
      </c>
      <c r="J8" s="52">
        <v>14718</v>
      </c>
      <c r="K8" s="52">
        <f t="shared" si="6"/>
        <v>16614</v>
      </c>
      <c r="L8" s="177">
        <v>64</v>
      </c>
      <c r="M8" s="179">
        <v>1468</v>
      </c>
      <c r="N8" s="179">
        <f t="shared" si="7"/>
        <v>1532</v>
      </c>
      <c r="O8" s="177">
        <v>35</v>
      </c>
      <c r="P8" s="179">
        <v>865</v>
      </c>
      <c r="Q8" s="181">
        <f t="shared" si="8"/>
        <v>900</v>
      </c>
      <c r="R8" s="183">
        <f t="shared" si="9"/>
        <v>2432</v>
      </c>
      <c r="S8" s="183">
        <f t="shared" si="10"/>
        <v>25.717630896826371</v>
      </c>
      <c r="T8" s="183">
        <f t="shared" si="11"/>
        <v>2457.7176308968264</v>
      </c>
    </row>
    <row r="9" spans="1:20">
      <c r="A9" s="46" t="s">
        <v>666</v>
      </c>
      <c r="B9" s="47">
        <v>13105</v>
      </c>
      <c r="C9" s="48">
        <f t="shared" si="0"/>
        <v>5.7477061805933226E-2</v>
      </c>
      <c r="D9" s="53">
        <f t="shared" si="1"/>
        <v>34.486237083559935</v>
      </c>
      <c r="E9" s="54">
        <f t="shared" si="2"/>
        <v>166.68347923720634</v>
      </c>
      <c r="F9" s="55">
        <f t="shared" si="3"/>
        <v>13105</v>
      </c>
      <c r="G9" s="52">
        <v>1526</v>
      </c>
      <c r="H9" s="52">
        <f t="shared" si="4"/>
        <v>60.399868454708226</v>
      </c>
      <c r="I9" s="51">
        <f t="shared" si="5"/>
        <v>1465.6001315452918</v>
      </c>
      <c r="J9" s="52">
        <v>11543</v>
      </c>
      <c r="K9" s="52">
        <f t="shared" si="6"/>
        <v>13069</v>
      </c>
      <c r="L9" s="177">
        <v>56</v>
      </c>
      <c r="M9" s="179">
        <v>1235</v>
      </c>
      <c r="N9" s="179">
        <f t="shared" si="7"/>
        <v>1291</v>
      </c>
      <c r="O9" s="177">
        <v>34</v>
      </c>
      <c r="P9" s="179">
        <v>734</v>
      </c>
      <c r="Q9" s="181">
        <f t="shared" si="8"/>
        <v>768</v>
      </c>
      <c r="R9" s="183">
        <f t="shared" si="9"/>
        <v>2059</v>
      </c>
      <c r="S9" s="183">
        <f t="shared" si="10"/>
        <v>20.110361769968947</v>
      </c>
      <c r="T9" s="183">
        <f t="shared" si="11"/>
        <v>2079.1103617699691</v>
      </c>
    </row>
    <row r="10" spans="1:20">
      <c r="A10" s="46" t="s">
        <v>667</v>
      </c>
      <c r="B10" s="47">
        <v>22481</v>
      </c>
      <c r="C10" s="48">
        <f t="shared" si="0"/>
        <v>9.8599147383379243E-2</v>
      </c>
      <c r="D10" s="53">
        <f t="shared" si="1"/>
        <v>59.159488430027544</v>
      </c>
      <c r="E10" s="54">
        <f t="shared" si="2"/>
        <v>285.93752741179981</v>
      </c>
      <c r="F10" s="55">
        <f t="shared" si="3"/>
        <v>22481</v>
      </c>
      <c r="G10" s="52">
        <v>2976</v>
      </c>
      <c r="H10" s="52">
        <f t="shared" si="4"/>
        <v>117.79161764168525</v>
      </c>
      <c r="I10" s="51">
        <f t="shared" si="5"/>
        <v>2858.2083823583148</v>
      </c>
      <c r="J10" s="52">
        <v>19361</v>
      </c>
      <c r="K10" s="52">
        <f t="shared" si="6"/>
        <v>22337</v>
      </c>
      <c r="L10" s="177">
        <v>115</v>
      </c>
      <c r="M10" s="179">
        <v>1927</v>
      </c>
      <c r="N10" s="179">
        <f t="shared" si="7"/>
        <v>2042</v>
      </c>
      <c r="O10" s="177">
        <v>82</v>
      </c>
      <c r="P10" s="179">
        <v>1345</v>
      </c>
      <c r="Q10" s="181">
        <f t="shared" si="8"/>
        <v>1427</v>
      </c>
      <c r="R10" s="183">
        <f t="shared" si="9"/>
        <v>3469</v>
      </c>
      <c r="S10" s="183">
        <f t="shared" si="10"/>
        <v>34.49836268223364</v>
      </c>
      <c r="T10" s="183">
        <f t="shared" si="11"/>
        <v>3503.4983626822336</v>
      </c>
    </row>
    <row r="11" spans="1:20">
      <c r="A11" s="46" t="s">
        <v>668</v>
      </c>
      <c r="B11" s="47">
        <v>52604</v>
      </c>
      <c r="C11" s="48">
        <f t="shared" si="0"/>
        <v>0.23071525060963843</v>
      </c>
      <c r="D11" s="53">
        <f t="shared" si="1"/>
        <v>138.42915036578307</v>
      </c>
      <c r="E11" s="54">
        <f t="shared" si="2"/>
        <v>669.07422676795147</v>
      </c>
      <c r="F11" s="55">
        <f t="shared" si="3"/>
        <v>52604</v>
      </c>
      <c r="G11" s="52">
        <v>5923</v>
      </c>
      <c r="H11" s="52">
        <f t="shared" si="4"/>
        <v>234.43540029963094</v>
      </c>
      <c r="I11" s="51">
        <f t="shared" si="5"/>
        <v>5688.5645997003685</v>
      </c>
      <c r="J11" s="52">
        <v>46345</v>
      </c>
      <c r="K11" s="52">
        <f t="shared" si="6"/>
        <v>52268</v>
      </c>
      <c r="L11" s="177">
        <v>196</v>
      </c>
      <c r="M11" s="179">
        <v>4808</v>
      </c>
      <c r="N11" s="179">
        <f t="shared" si="7"/>
        <v>5004</v>
      </c>
      <c r="O11" s="177">
        <v>149</v>
      </c>
      <c r="P11" s="179">
        <v>3482</v>
      </c>
      <c r="Q11" s="181">
        <f t="shared" si="8"/>
        <v>3631</v>
      </c>
      <c r="R11" s="183">
        <f t="shared" si="9"/>
        <v>8635</v>
      </c>
      <c r="S11" s="183">
        <f t="shared" si="10"/>
        <v>80.723805459553333</v>
      </c>
      <c r="T11" s="183">
        <f t="shared" si="11"/>
        <v>8715.7238054595528</v>
      </c>
    </row>
    <row r="12" spans="1:20">
      <c r="A12" s="46" t="s">
        <v>669</v>
      </c>
      <c r="B12" s="47">
        <v>13246</v>
      </c>
      <c r="C12" s="48">
        <f t="shared" si="0"/>
        <v>5.8095472009262995E-2</v>
      </c>
      <c r="D12" s="53">
        <f t="shared" si="1"/>
        <v>34.857283205557799</v>
      </c>
      <c r="E12" s="54">
        <f t="shared" si="2"/>
        <v>168.4768688268627</v>
      </c>
      <c r="F12" s="55">
        <f t="shared" si="3"/>
        <v>13246</v>
      </c>
      <c r="G12" s="52">
        <v>1688</v>
      </c>
      <c r="H12" s="52">
        <f t="shared" si="4"/>
        <v>66.811912156977385</v>
      </c>
      <c r="I12" s="51">
        <f t="shared" si="5"/>
        <v>1621.1880878430225</v>
      </c>
      <c r="J12" s="52">
        <v>11470</v>
      </c>
      <c r="K12" s="52">
        <f t="shared" si="6"/>
        <v>13158</v>
      </c>
      <c r="L12" s="177">
        <v>62</v>
      </c>
      <c r="M12" s="179">
        <v>1136</v>
      </c>
      <c r="N12" s="179">
        <f t="shared" si="7"/>
        <v>1198</v>
      </c>
      <c r="O12" s="177">
        <v>45</v>
      </c>
      <c r="P12" s="179">
        <v>726</v>
      </c>
      <c r="Q12" s="181">
        <f t="shared" si="8"/>
        <v>771</v>
      </c>
      <c r="R12" s="183">
        <f t="shared" si="9"/>
        <v>1969</v>
      </c>
      <c r="S12" s="183">
        <f t="shared" si="10"/>
        <v>20.326734223960983</v>
      </c>
      <c r="T12" s="183">
        <f t="shared" si="11"/>
        <v>1989.326734223961</v>
      </c>
    </row>
    <row r="13" spans="1:20">
      <c r="A13" s="46" t="s">
        <v>670</v>
      </c>
      <c r="B13" s="47">
        <v>26350</v>
      </c>
      <c r="C13" s="48">
        <f t="shared" si="0"/>
        <v>0.11556814792722934</v>
      </c>
      <c r="D13" s="53">
        <f t="shared" si="1"/>
        <v>69.340888756337606</v>
      </c>
      <c r="E13" s="54">
        <f t="shared" si="2"/>
        <v>335.1476289889651</v>
      </c>
      <c r="F13" s="55">
        <f t="shared" si="3"/>
        <v>26350</v>
      </c>
      <c r="G13" s="52">
        <v>3454</v>
      </c>
      <c r="H13" s="52">
        <f t="shared" si="4"/>
        <v>136.71110461504733</v>
      </c>
      <c r="I13" s="51">
        <f t="shared" si="5"/>
        <v>3317.2888953849524</v>
      </c>
      <c r="J13" s="52">
        <v>22794</v>
      </c>
      <c r="K13" s="52">
        <f t="shared" si="6"/>
        <v>26248</v>
      </c>
      <c r="L13" s="177">
        <v>171</v>
      </c>
      <c r="M13" s="179">
        <v>2371</v>
      </c>
      <c r="N13" s="179">
        <f t="shared" si="7"/>
        <v>2542</v>
      </c>
      <c r="O13" s="177">
        <v>137</v>
      </c>
      <c r="P13" s="179">
        <v>1609</v>
      </c>
      <c r="Q13" s="181">
        <f t="shared" si="8"/>
        <v>1746</v>
      </c>
      <c r="R13" s="183">
        <f t="shared" si="9"/>
        <v>4288</v>
      </c>
      <c r="S13" s="183">
        <f t="shared" si="10"/>
        <v>40.435561437518643</v>
      </c>
      <c r="T13" s="183">
        <f t="shared" si="11"/>
        <v>4328.435561437519</v>
      </c>
    </row>
    <row r="14" spans="1:20">
      <c r="A14" s="46" t="s">
        <v>671</v>
      </c>
      <c r="B14" s="47">
        <v>31824</v>
      </c>
      <c r="C14" s="48">
        <f t="shared" si="0"/>
        <v>0.13957649865791827</v>
      </c>
      <c r="D14" s="53">
        <f t="shared" si="1"/>
        <v>83.745899194750962</v>
      </c>
      <c r="E14" s="54">
        <f t="shared" si="2"/>
        <v>404.77184610796297</v>
      </c>
      <c r="F14" s="55">
        <f t="shared" si="3"/>
        <v>31823.999999999996</v>
      </c>
      <c r="G14" s="52">
        <v>4019</v>
      </c>
      <c r="H14" s="52">
        <f t="shared" si="4"/>
        <v>159.07409653962802</v>
      </c>
      <c r="I14" s="51">
        <f t="shared" si="5"/>
        <v>3859.925903460372</v>
      </c>
      <c r="J14" s="52">
        <v>27506</v>
      </c>
      <c r="K14" s="52">
        <f t="shared" si="6"/>
        <v>31525</v>
      </c>
      <c r="L14" s="177">
        <v>108</v>
      </c>
      <c r="M14" s="179">
        <v>2791</v>
      </c>
      <c r="N14" s="179">
        <f t="shared" si="7"/>
        <v>2899</v>
      </c>
      <c r="O14" s="177">
        <v>92</v>
      </c>
      <c r="P14" s="179">
        <v>1911</v>
      </c>
      <c r="Q14" s="181">
        <f t="shared" si="8"/>
        <v>2003</v>
      </c>
      <c r="R14" s="183">
        <f t="shared" si="9"/>
        <v>4902</v>
      </c>
      <c r="S14" s="183">
        <f t="shared" si="10"/>
        <v>48.835723232925737</v>
      </c>
      <c r="T14" s="183">
        <f t="shared" si="11"/>
        <v>4950.8357232329254</v>
      </c>
    </row>
    <row r="15" spans="1:20">
      <c r="A15" s="46" t="s">
        <v>672</v>
      </c>
      <c r="B15" s="47">
        <v>894</v>
      </c>
      <c r="C15" s="48">
        <f t="shared" si="0"/>
        <v>3.9209838423887302E-3</v>
      </c>
      <c r="D15" s="53">
        <f t="shared" si="1"/>
        <v>2.352590305433238</v>
      </c>
      <c r="E15" s="54">
        <f t="shared" si="2"/>
        <v>11.370853142927318</v>
      </c>
      <c r="F15" s="55">
        <f t="shared" si="3"/>
        <v>894</v>
      </c>
      <c r="G15" s="52">
        <v>118</v>
      </c>
      <c r="H15" s="52">
        <f t="shared" si="4"/>
        <v>4.6705009683195087</v>
      </c>
      <c r="I15" s="51">
        <f t="shared" si="5"/>
        <v>113.32949903168048</v>
      </c>
      <c r="J15" s="52">
        <v>776</v>
      </c>
      <c r="K15" s="52">
        <f t="shared" si="6"/>
        <v>894</v>
      </c>
      <c r="L15" s="177">
        <v>7</v>
      </c>
      <c r="M15" s="179">
        <v>70</v>
      </c>
      <c r="N15" s="179">
        <f t="shared" si="7"/>
        <v>77</v>
      </c>
      <c r="O15" s="177">
        <f>52-P15</f>
        <v>3</v>
      </c>
      <c r="P15" s="179">
        <v>49</v>
      </c>
      <c r="Q15" s="181">
        <f t="shared" si="8"/>
        <v>52</v>
      </c>
      <c r="R15" s="183">
        <f t="shared" si="9"/>
        <v>129</v>
      </c>
      <c r="S15" s="183">
        <f t="shared" si="10"/>
        <v>1.3718934316941809</v>
      </c>
      <c r="T15" s="183">
        <f t="shared" si="11"/>
        <v>130.37189343169419</v>
      </c>
    </row>
    <row r="16" spans="1:20">
      <c r="A16" s="46" t="s">
        <v>673</v>
      </c>
      <c r="B16" s="47">
        <v>912</v>
      </c>
      <c r="C16" s="48">
        <f t="shared" si="0"/>
        <v>3.99992982579253E-3</v>
      </c>
      <c r="D16" s="53">
        <f t="shared" si="1"/>
        <v>2.3999578954755179</v>
      </c>
      <c r="E16" s="54">
        <f t="shared" si="2"/>
        <v>11.599796494798337</v>
      </c>
      <c r="F16" s="55">
        <f t="shared" si="3"/>
        <v>912</v>
      </c>
      <c r="G16" s="52">
        <v>114</v>
      </c>
      <c r="H16" s="52">
        <f t="shared" si="4"/>
        <v>4.5121789015968137</v>
      </c>
      <c r="I16" s="51">
        <f t="shared" si="5"/>
        <v>109.48782109840317</v>
      </c>
      <c r="J16" s="52">
        <v>792</v>
      </c>
      <c r="K16" s="52">
        <f t="shared" si="6"/>
        <v>906</v>
      </c>
      <c r="L16" s="177">
        <v>2</v>
      </c>
      <c r="M16" s="179">
        <v>52</v>
      </c>
      <c r="N16" s="179">
        <f t="shared" si="7"/>
        <v>54</v>
      </c>
      <c r="O16" s="177">
        <f>33-P16</f>
        <v>3</v>
      </c>
      <c r="P16" s="179">
        <v>30</v>
      </c>
      <c r="Q16" s="181">
        <f t="shared" si="8"/>
        <v>33</v>
      </c>
      <c r="R16" s="183">
        <f t="shared" si="9"/>
        <v>87</v>
      </c>
      <c r="S16" s="183">
        <f t="shared" si="10"/>
        <v>1.3995154470974194</v>
      </c>
      <c r="T16" s="183">
        <f t="shared" si="11"/>
        <v>88.399515447097414</v>
      </c>
    </row>
    <row r="17" spans="1:20">
      <c r="A17" s="46" t="s">
        <v>674</v>
      </c>
      <c r="B17" s="47">
        <v>18157</v>
      </c>
      <c r="C17" s="48">
        <f t="shared" si="0"/>
        <v>7.9634567814599738E-2</v>
      </c>
      <c r="D17" s="53">
        <f t="shared" si="1"/>
        <v>47.780740688759842</v>
      </c>
      <c r="E17" s="54">
        <f t="shared" si="2"/>
        <v>230.94024666233923</v>
      </c>
      <c r="F17" s="55">
        <f t="shared" si="3"/>
        <v>18157</v>
      </c>
      <c r="G17" s="52">
        <v>1771</v>
      </c>
      <c r="H17" s="52">
        <f t="shared" si="4"/>
        <v>70.09709504147331</v>
      </c>
      <c r="I17" s="51">
        <f t="shared" si="5"/>
        <v>1700.9029049585265</v>
      </c>
      <c r="J17" s="52">
        <v>16283</v>
      </c>
      <c r="K17" s="52">
        <f t="shared" si="6"/>
        <v>18054</v>
      </c>
      <c r="L17" s="177">
        <v>63</v>
      </c>
      <c r="M17" s="179">
        <v>1917</v>
      </c>
      <c r="N17" s="179">
        <f t="shared" si="7"/>
        <v>1980</v>
      </c>
      <c r="O17" s="177">
        <v>48</v>
      </c>
      <c r="P17" s="179">
        <v>1144</v>
      </c>
      <c r="Q17" s="181">
        <f t="shared" si="8"/>
        <v>1192</v>
      </c>
      <c r="R17" s="183">
        <f t="shared" si="9"/>
        <v>3172</v>
      </c>
      <c r="S17" s="183">
        <f t="shared" si="10"/>
        <v>27.862940759811234</v>
      </c>
      <c r="T17" s="183">
        <f t="shared" si="11"/>
        <v>3199.8629407598114</v>
      </c>
    </row>
    <row r="18" spans="1:20" ht="13.5" thickBot="1">
      <c r="A18" s="46" t="s">
        <v>675</v>
      </c>
      <c r="B18" s="47">
        <v>1120</v>
      </c>
      <c r="C18" s="48">
        <f t="shared" si="0"/>
        <v>4.912194522903107E-3</v>
      </c>
      <c r="D18" s="56">
        <f t="shared" si="1"/>
        <v>2.9473167137418641</v>
      </c>
      <c r="E18" s="57">
        <f t="shared" si="2"/>
        <v>14.24536411641901</v>
      </c>
      <c r="F18" s="55">
        <f t="shared" si="3"/>
        <v>1120</v>
      </c>
      <c r="G18" s="52">
        <v>181</v>
      </c>
      <c r="H18" s="52">
        <f t="shared" si="4"/>
        <v>7.1640735192019589</v>
      </c>
      <c r="I18" s="51">
        <f t="shared" si="5"/>
        <v>173.83592648079804</v>
      </c>
      <c r="J18" s="52">
        <v>939</v>
      </c>
      <c r="K18" s="52">
        <f t="shared" si="6"/>
        <v>1120</v>
      </c>
      <c r="L18" s="177">
        <v>7</v>
      </c>
      <c r="M18" s="179">
        <v>98</v>
      </c>
      <c r="N18" s="179">
        <f>L18+M18</f>
        <v>105</v>
      </c>
      <c r="O18" s="177">
        <f>66-P18</f>
        <v>2</v>
      </c>
      <c r="P18" s="179">
        <v>64</v>
      </c>
      <c r="Q18" s="181">
        <f>O18+P18</f>
        <v>66</v>
      </c>
      <c r="R18" s="183">
        <f t="shared" si="9"/>
        <v>171</v>
      </c>
      <c r="S18" s="183">
        <f t="shared" si="10"/>
        <v>1.7187031806459536</v>
      </c>
      <c r="T18" s="183">
        <f t="shared" si="11"/>
        <v>172.71870318064595</v>
      </c>
    </row>
    <row r="19" spans="1:20" s="65" customFormat="1" ht="13.5" thickBot="1">
      <c r="A19" s="58" t="s">
        <v>688</v>
      </c>
      <c r="B19" s="61">
        <f>SUM(B5:B18)</f>
        <v>228004</v>
      </c>
      <c r="C19" s="62">
        <f>SUM(C5:C18)</f>
        <v>1.0000000000000002</v>
      </c>
      <c r="D19" s="63">
        <v>600</v>
      </c>
      <c r="E19" s="64">
        <v>2900</v>
      </c>
      <c r="F19" s="63">
        <v>228004</v>
      </c>
      <c r="G19" s="63">
        <f>SUM(G5:G18)</f>
        <v>27367</v>
      </c>
      <c r="H19" s="63">
        <v>1083.2</v>
      </c>
      <c r="I19" s="63">
        <v>26283.8</v>
      </c>
      <c r="J19" s="63">
        <f t="shared" ref="J19:R19" si="12">SUM(J5:J18)</f>
        <v>199264</v>
      </c>
      <c r="K19" s="63">
        <f t="shared" si="12"/>
        <v>226631</v>
      </c>
      <c r="L19" s="63">
        <f t="shared" si="12"/>
        <v>1026</v>
      </c>
      <c r="M19" s="63">
        <f t="shared" si="12"/>
        <v>20445</v>
      </c>
      <c r="N19" s="63">
        <f t="shared" si="12"/>
        <v>21471</v>
      </c>
      <c r="O19" s="63">
        <f t="shared" si="12"/>
        <v>736</v>
      </c>
      <c r="P19" s="63">
        <f t="shared" si="12"/>
        <v>13584</v>
      </c>
      <c r="Q19" s="182">
        <f t="shared" si="12"/>
        <v>14320</v>
      </c>
      <c r="R19" s="184">
        <f t="shared" si="12"/>
        <v>35791</v>
      </c>
      <c r="S19" s="184">
        <f>'Unit £s Lipid-lowering therapy'!B3*'Unit £s Lipid-lowering therapy'!B4</f>
        <v>349.88499999999999</v>
      </c>
      <c r="T19" s="184">
        <f>SUM(T5:T18)</f>
        <v>36140.885000000002</v>
      </c>
    </row>
    <row r="20" spans="1:20">
      <c r="B20" s="185"/>
      <c r="C20" s="186"/>
      <c r="D20" s="187">
        <f>SUM(D5:D18)</f>
        <v>599.99999999999989</v>
      </c>
      <c r="E20" s="187">
        <f>SUM(E5:E18)</f>
        <v>2900</v>
      </c>
      <c r="F20" s="188">
        <f>SUM(F5:F18)</f>
        <v>228004</v>
      </c>
      <c r="S20" s="180"/>
    </row>
    <row r="21" spans="1:20" ht="25.5">
      <c r="A21" s="44" t="s">
        <v>740</v>
      </c>
      <c r="B21" s="189">
        <v>9.5000000000000001E-2</v>
      </c>
    </row>
  </sheetData>
  <mergeCells count="14">
    <mergeCell ref="G3:I3"/>
    <mergeCell ref="A3:A4"/>
    <mergeCell ref="B3:B4"/>
    <mergeCell ref="C3:C4"/>
    <mergeCell ref="D3:D4"/>
    <mergeCell ref="E3:E4"/>
    <mergeCell ref="F3:F4"/>
    <mergeCell ref="R3:R4"/>
    <mergeCell ref="S3:S4"/>
    <mergeCell ref="T3:T4"/>
    <mergeCell ref="J3:J4"/>
    <mergeCell ref="K3:K4"/>
    <mergeCell ref="L3:N3"/>
    <mergeCell ref="O3:Q3"/>
  </mergeCells>
  <phoneticPr fontId="12" type="noConversion"/>
  <pageMargins left="0.7" right="0.7" top="0.75" bottom="0.75" header="0.3" footer="0.3"/>
  <pageSetup paperSize="8" scale="96"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22">
    <pageSetUpPr autoPageBreaks="0"/>
  </sheetPr>
  <dimension ref="A1:G59"/>
  <sheetViews>
    <sheetView showGridLines="0" showRowColHeaders="0" workbookViewId="0">
      <selection activeCell="B6" sqref="B6"/>
    </sheetView>
  </sheetViews>
  <sheetFormatPr defaultColWidth="7.109375" defaultRowHeight="12.75"/>
  <cols>
    <col min="1" max="1" width="2" style="889" customWidth="1"/>
    <col min="2" max="2" width="53.88671875" style="901" customWidth="1"/>
    <col min="3" max="3" width="17.88671875" style="901" customWidth="1"/>
    <col min="4" max="16384" width="7.109375" style="889"/>
  </cols>
  <sheetData>
    <row r="1" spans="1:7" s="680" customFormat="1" ht="23.25">
      <c r="A1" s="1307" t="s">
        <v>803</v>
      </c>
      <c r="B1" s="1307"/>
      <c r="C1" s="677"/>
      <c r="D1" s="677"/>
      <c r="E1" s="679"/>
    </row>
    <row r="2" spans="1:7" ht="26.25">
      <c r="B2" s="890"/>
      <c r="C2" s="891"/>
      <c r="D2" s="892"/>
      <c r="E2" s="892"/>
      <c r="F2" s="892"/>
      <c r="G2" s="892"/>
    </row>
    <row r="3" spans="1:7" ht="18">
      <c r="B3" s="893" t="s">
        <v>806</v>
      </c>
      <c r="C3" s="893"/>
      <c r="E3" s="894"/>
    </row>
    <row r="4" spans="1:7" ht="90.75" thickBot="1">
      <c r="B4" s="1173" t="s">
        <v>216</v>
      </c>
      <c r="C4" s="895"/>
    </row>
    <row r="5" spans="1:7" s="896" customFormat="1" ht="136.5" thickTop="1" thickBot="1">
      <c r="B5" s="897" t="s">
        <v>217</v>
      </c>
      <c r="C5" s="718" t="s">
        <v>715</v>
      </c>
    </row>
    <row r="6" spans="1:7" s="898" customFormat="1" ht="45.75" thickTop="1">
      <c r="B6" s="899" t="s">
        <v>805</v>
      </c>
      <c r="C6" s="900"/>
    </row>
    <row r="7" spans="1:7" ht="15">
      <c r="B7" s="1173" t="s">
        <v>128</v>
      </c>
      <c r="C7" s="895"/>
    </row>
    <row r="8" spans="1:7" ht="15.75">
      <c r="B8" s="1171" t="s">
        <v>129</v>
      </c>
      <c r="C8" s="902"/>
    </row>
    <row r="9" spans="1:7" ht="15">
      <c r="B9" s="895" t="s">
        <v>130</v>
      </c>
      <c r="C9" s="895"/>
    </row>
    <row r="10" spans="1:7" ht="15">
      <c r="B10" s="895"/>
      <c r="C10" s="895"/>
    </row>
    <row r="11" spans="1:7" ht="15.75">
      <c r="B11" s="1171" t="s">
        <v>144</v>
      </c>
      <c r="C11" s="902"/>
    </row>
    <row r="12" spans="1:7" ht="30">
      <c r="B12" s="895" t="s">
        <v>804</v>
      </c>
      <c r="C12" s="895"/>
    </row>
    <row r="14" spans="1:7" ht="15.75">
      <c r="B14" s="1171" t="s">
        <v>715</v>
      </c>
    </row>
    <row r="15" spans="1:7" ht="60">
      <c r="B15" s="1173" t="s">
        <v>179</v>
      </c>
    </row>
    <row r="16" spans="1:7" ht="13.5" thickBot="1"/>
    <row r="17" spans="2:3" ht="16.5" thickTop="1">
      <c r="B17" s="1171" t="s">
        <v>807</v>
      </c>
      <c r="C17" s="1308" t="s">
        <v>808</v>
      </c>
    </row>
    <row r="18" spans="2:3" ht="90.75">
      <c r="B18" s="895" t="s">
        <v>171</v>
      </c>
      <c r="C18" s="1309"/>
    </row>
    <row r="19" spans="2:3" ht="62.25" thickBot="1">
      <c r="B19" s="902" t="s">
        <v>809</v>
      </c>
      <c r="C19" s="1310"/>
    </row>
    <row r="20" spans="2:3" ht="15.75" thickTop="1">
      <c r="B20" s="895"/>
      <c r="C20" s="895"/>
    </row>
    <row r="21" spans="2:3" ht="15.75">
      <c r="B21" s="1172" t="s">
        <v>810</v>
      </c>
      <c r="C21" s="902"/>
    </row>
    <row r="22" spans="2:3" ht="60">
      <c r="B22" s="895" t="s">
        <v>172</v>
      </c>
      <c r="C22" s="895"/>
    </row>
    <row r="23" spans="2:3" ht="15.75">
      <c r="B23" s="902" t="s">
        <v>811</v>
      </c>
      <c r="C23" s="895"/>
    </row>
    <row r="24" spans="2:3" ht="15">
      <c r="C24" s="895"/>
    </row>
    <row r="25" spans="2:3" ht="15.75">
      <c r="B25" s="902" t="s">
        <v>173</v>
      </c>
      <c r="C25" s="895"/>
    </row>
    <row r="26" spans="2:3" s="898" customFormat="1" ht="15">
      <c r="B26" s="1173" t="s">
        <v>174</v>
      </c>
      <c r="C26" s="1173"/>
    </row>
    <row r="27" spans="2:3" ht="15">
      <c r="C27" s="895"/>
    </row>
    <row r="28" spans="2:3" ht="15.75">
      <c r="B28" s="902" t="s">
        <v>175</v>
      </c>
      <c r="C28" s="895"/>
    </row>
    <row r="29" spans="2:3" ht="75">
      <c r="B29" s="895" t="s">
        <v>180</v>
      </c>
      <c r="C29" s="895"/>
    </row>
    <row r="30" spans="2:3" ht="15">
      <c r="B30" s="895"/>
      <c r="C30" s="895"/>
    </row>
    <row r="31" spans="2:3" ht="15.75">
      <c r="B31" s="902" t="s">
        <v>131</v>
      </c>
      <c r="C31" s="895"/>
    </row>
    <row r="32" spans="2:3" s="898" customFormat="1" ht="45">
      <c r="B32" s="1173" t="s">
        <v>176</v>
      </c>
      <c r="C32" s="1173"/>
    </row>
    <row r="33" spans="2:3" ht="45">
      <c r="B33" s="895" t="s">
        <v>181</v>
      </c>
      <c r="C33" s="895"/>
    </row>
    <row r="34" spans="2:3" ht="45">
      <c r="B34" s="895" t="s">
        <v>182</v>
      </c>
      <c r="C34" s="895"/>
    </row>
    <row r="35" spans="2:3" ht="15">
      <c r="B35" s="895"/>
      <c r="C35" s="895"/>
    </row>
    <row r="36" spans="2:3" ht="15.75">
      <c r="B36" s="903" t="s">
        <v>132</v>
      </c>
      <c r="C36" s="903"/>
    </row>
    <row r="37" spans="2:3" ht="30">
      <c r="B37" s="895" t="s">
        <v>133</v>
      </c>
      <c r="C37" s="895"/>
    </row>
    <row r="38" spans="2:3">
      <c r="B38" s="719" t="s">
        <v>134</v>
      </c>
      <c r="C38" s="910"/>
    </row>
    <row r="39" spans="2:3" ht="15">
      <c r="B39" s="895" t="s">
        <v>177</v>
      </c>
      <c r="C39" s="904"/>
    </row>
    <row r="40" spans="2:3" ht="15.75">
      <c r="B40" s="902"/>
      <c r="C40" s="904"/>
    </row>
    <row r="41" spans="2:3" ht="15.75">
      <c r="B41" s="902" t="s">
        <v>135</v>
      </c>
      <c r="C41" s="904"/>
    </row>
    <row r="42" spans="2:3" ht="90">
      <c r="B42" s="895" t="s">
        <v>178</v>
      </c>
      <c r="C42" s="904"/>
    </row>
    <row r="43" spans="2:3" ht="60">
      <c r="B43" s="895" t="s">
        <v>213</v>
      </c>
      <c r="C43" s="904"/>
    </row>
    <row r="44" spans="2:3" ht="15.75">
      <c r="B44" s="902"/>
      <c r="C44" s="904"/>
    </row>
    <row r="45" spans="2:3">
      <c r="B45" s="907"/>
      <c r="C45" s="907"/>
    </row>
    <row r="46" spans="2:3" ht="15.75">
      <c r="B46" s="905" t="s">
        <v>136</v>
      </c>
      <c r="C46" s="905"/>
    </row>
    <row r="47" spans="2:3" ht="45">
      <c r="B47" s="906" t="s">
        <v>214</v>
      </c>
      <c r="C47" s="906"/>
    </row>
    <row r="49" spans="2:3">
      <c r="B49" s="901" t="s">
        <v>787</v>
      </c>
    </row>
    <row r="50" spans="2:3">
      <c r="B50" s="901" t="s">
        <v>788</v>
      </c>
    </row>
    <row r="51" spans="2:3">
      <c r="B51" s="901" t="s">
        <v>137</v>
      </c>
    </row>
    <row r="52" spans="2:3">
      <c r="B52" s="908" t="s">
        <v>138</v>
      </c>
      <c r="C52" s="889"/>
    </row>
    <row r="53" spans="2:3">
      <c r="B53" s="889" t="s">
        <v>139</v>
      </c>
      <c r="C53" s="889"/>
    </row>
    <row r="54" spans="2:3">
      <c r="B54" s="908" t="s">
        <v>140</v>
      </c>
      <c r="C54" s="889"/>
    </row>
    <row r="55" spans="2:3">
      <c r="B55" s="889" t="s">
        <v>141</v>
      </c>
      <c r="C55" s="889"/>
    </row>
    <row r="56" spans="2:3">
      <c r="B56" s="908" t="s">
        <v>142</v>
      </c>
      <c r="C56" s="889"/>
    </row>
    <row r="57" spans="2:3">
      <c r="B57" s="1174" t="s">
        <v>215</v>
      </c>
      <c r="C57" s="889"/>
    </row>
    <row r="58" spans="2:3">
      <c r="B58" s="901" t="s">
        <v>447</v>
      </c>
    </row>
    <row r="59" spans="2:3">
      <c r="B59" s="720" t="s">
        <v>143</v>
      </c>
      <c r="C59" s="909"/>
    </row>
  </sheetData>
  <sheetProtection password="C7D8" sheet="1" objects="1" scenarios="1"/>
  <mergeCells count="2">
    <mergeCell ref="A1:B1"/>
    <mergeCell ref="C17:C19"/>
  </mergeCells>
  <phoneticPr fontId="4" type="noConversion"/>
  <dataValidations xWindow="680" yWindow="92" count="2">
    <dataValidation allowBlank="1" showInputMessage="1" showErrorMessage="1" promptTitle="STEP 1. Select NHS Board" prompt="Click STEP 1. Select NHS Board to go to this place in the document._x000a_" sqref="C17"/>
    <dataValidation allowBlank="1" showInputMessage="1" showErrorMessage="1" promptTitle="Recommendations" prompt="Click 'Recommendations' to go to the recommendations._x000a_" sqref="C5"/>
  </dataValidations>
  <hyperlinks>
    <hyperlink ref="B59" r:id="rId1"/>
    <hyperlink ref="C5" location="Recommendations!A1" display="Recommendations"/>
    <hyperlink ref="C17:C18" location="'STEP 1.Select NHS Board'!A1" display="STEP 1.Select NHS Board"/>
    <hyperlink ref="B38" location="'STEP 3. Costing report '!A1" display="click here to go direct to this summary"/>
    <hyperlink ref="B57" r:id="rId2"/>
    <hyperlink ref="C17:C19" location="'STEP 1.Select NHS Board'!A1" display="STEP 1.Select NHS Board"/>
  </hyperlinks>
  <pageMargins left="0.74803149606299213" right="0.74803149606299213" top="0.78740157480314965" bottom="0.86614173228346458" header="0.51181102362204722" footer="0.51181102362204722"/>
  <pageSetup paperSize="9" orientation="portrait" r:id="rId3"/>
  <headerFooter alignWithMargins="0"/>
  <drawing r:id="rId4"/>
</worksheet>
</file>

<file path=xl/worksheets/sheet20.xml><?xml version="1.0" encoding="utf-8"?>
<worksheet xmlns="http://schemas.openxmlformats.org/spreadsheetml/2006/main" xmlns:r="http://schemas.openxmlformats.org/officeDocument/2006/relationships">
  <sheetPr codeName="Sheet21">
    <pageSetUpPr autoPageBreaks="0"/>
  </sheetPr>
  <dimension ref="A1:F64"/>
  <sheetViews>
    <sheetView showGridLines="0" showRowColHeaders="0" workbookViewId="0">
      <selection activeCell="F23" sqref="F23"/>
    </sheetView>
  </sheetViews>
  <sheetFormatPr defaultColWidth="7.109375" defaultRowHeight="15"/>
  <cols>
    <col min="1" max="1" width="4.21875" style="1147" customWidth="1"/>
    <col min="2" max="2" width="40.33203125" style="1147" customWidth="1"/>
    <col min="3" max="3" width="11.88671875" style="1147" bestFit="1" customWidth="1"/>
    <col min="4" max="4" width="22.44140625" style="1147" customWidth="1"/>
    <col min="5" max="5" width="7.109375" style="1147"/>
    <col min="6" max="6" width="9.88671875" style="1147" bestFit="1" customWidth="1"/>
    <col min="7" max="16384" width="7.109375" style="1147"/>
  </cols>
  <sheetData>
    <row r="1" spans="1:6">
      <c r="A1" s="204"/>
      <c r="B1" s="204"/>
      <c r="C1" s="204"/>
      <c r="D1" s="204"/>
      <c r="E1" s="204"/>
      <c r="F1" s="204"/>
    </row>
    <row r="2" spans="1:6" ht="49.5" customHeight="1">
      <c r="A2" s="204"/>
      <c r="B2" s="1148"/>
      <c r="C2" s="204"/>
      <c r="D2" s="204"/>
      <c r="E2" s="204"/>
      <c r="F2" s="385"/>
    </row>
    <row r="3" spans="1:6" ht="26.25">
      <c r="A3" s="204"/>
      <c r="B3" s="1490" t="s">
        <v>145</v>
      </c>
      <c r="C3" s="1490"/>
      <c r="D3" s="1490"/>
      <c r="E3" s="1490"/>
      <c r="F3" s="1490"/>
    </row>
    <row r="4" spans="1:6" ht="34.5" customHeight="1">
      <c r="A4" s="204"/>
      <c r="B4" s="1491"/>
      <c r="C4" s="1491"/>
      <c r="D4" s="1491"/>
      <c r="E4" s="1491"/>
      <c r="F4" s="1491"/>
    </row>
    <row r="5" spans="1:6">
      <c r="A5" s="204"/>
      <c r="B5" s="204"/>
      <c r="C5" s="204"/>
      <c r="D5" s="204"/>
      <c r="E5" s="204"/>
      <c r="F5" s="204"/>
    </row>
    <row r="6" spans="1:6" ht="15.75" customHeight="1">
      <c r="A6" s="204"/>
      <c r="B6" s="1489" t="s">
        <v>102</v>
      </c>
      <c r="C6" s="1489"/>
      <c r="D6" s="1489"/>
      <c r="E6" s="204"/>
      <c r="F6" s="204"/>
    </row>
    <row r="7" spans="1:6" ht="15.75">
      <c r="A7" s="204"/>
      <c r="B7" s="1149" t="str">
        <f>'STEP 1.Select NHS Board'!$B$7</f>
        <v>Select NHS board</v>
      </c>
      <c r="C7" s="204"/>
      <c r="D7" s="204"/>
      <c r="E7" s="204"/>
      <c r="F7" s="204"/>
    </row>
    <row r="8" spans="1:6" ht="32.25" customHeight="1">
      <c r="A8" s="204"/>
      <c r="B8" s="1487" t="s">
        <v>115</v>
      </c>
      <c r="C8" s="1487"/>
      <c r="D8" s="1487"/>
      <c r="E8" s="204"/>
      <c r="F8" s="204"/>
    </row>
    <row r="9" spans="1:6">
      <c r="A9" s="204"/>
      <c r="B9" s="1150"/>
      <c r="C9" s="1150"/>
      <c r="D9" s="1150"/>
      <c r="E9" s="204"/>
      <c r="F9" s="204"/>
    </row>
    <row r="10" spans="1:6" ht="15.75">
      <c r="A10" s="204"/>
      <c r="B10" s="1149" t="s">
        <v>116</v>
      </c>
      <c r="C10" s="204"/>
      <c r="D10" s="204"/>
      <c r="E10" s="204"/>
      <c r="F10" s="204"/>
    </row>
    <row r="11" spans="1:6" ht="30" customHeight="1">
      <c r="A11" s="204"/>
      <c r="B11" s="1486" t="s">
        <v>223</v>
      </c>
      <c r="C11" s="1486"/>
      <c r="D11" s="1486"/>
      <c r="E11" s="204"/>
      <c r="F11" s="204"/>
    </row>
    <row r="12" spans="1:6" ht="15.75">
      <c r="A12" s="204"/>
      <c r="B12" s="1149"/>
      <c r="C12" s="204"/>
      <c r="D12" s="204"/>
      <c r="E12" s="204"/>
      <c r="F12" s="204"/>
    </row>
    <row r="13" spans="1:6" ht="60" customHeight="1">
      <c r="A13" s="204"/>
      <c r="B13" s="1486" t="s">
        <v>106</v>
      </c>
      <c r="C13" s="1486"/>
      <c r="D13" s="1486"/>
      <c r="E13" s="204"/>
      <c r="F13" s="204"/>
    </row>
    <row r="14" spans="1:6" ht="15.75">
      <c r="A14" s="204"/>
      <c r="B14" s="1149"/>
      <c r="C14" s="204"/>
      <c r="D14" s="204"/>
      <c r="E14" s="204"/>
      <c r="F14" s="204"/>
    </row>
    <row r="15" spans="1:6" ht="15.75">
      <c r="A15" s="204"/>
      <c r="B15" s="1149" t="s">
        <v>117</v>
      </c>
      <c r="C15" s="204"/>
      <c r="D15" s="204"/>
      <c r="E15" s="204"/>
      <c r="F15" s="204"/>
    </row>
    <row r="16" spans="1:6" ht="28.5" customHeight="1">
      <c r="A16" s="204"/>
      <c r="B16" s="1486" t="s">
        <v>118</v>
      </c>
      <c r="C16" s="1486"/>
      <c r="D16" s="1486"/>
      <c r="E16" s="204"/>
      <c r="F16" s="204"/>
    </row>
    <row r="17" spans="1:6" ht="45.75" customHeight="1">
      <c r="A17" s="204"/>
      <c r="B17" s="1488" t="s">
        <v>123</v>
      </c>
      <c r="C17" s="1488"/>
      <c r="D17" s="1488"/>
      <c r="E17" s="204"/>
      <c r="F17" s="204"/>
    </row>
    <row r="18" spans="1:6" ht="15.75">
      <c r="A18" s="204"/>
      <c r="B18" s="1488" t="s">
        <v>124</v>
      </c>
      <c r="C18" s="1489"/>
      <c r="D18" s="1489"/>
      <c r="E18" s="204"/>
      <c r="F18" s="204"/>
    </row>
    <row r="19" spans="1:6" ht="18" customHeight="1">
      <c r="A19" s="204"/>
      <c r="B19" s="1488" t="s">
        <v>125</v>
      </c>
      <c r="C19" s="1488"/>
      <c r="D19" s="1488"/>
      <c r="E19" s="204"/>
      <c r="F19" s="204"/>
    </row>
    <row r="20" spans="1:6" ht="15.75">
      <c r="A20" s="204"/>
      <c r="B20" s="1488" t="s">
        <v>126</v>
      </c>
      <c r="C20" s="1488"/>
      <c r="D20" s="1488"/>
      <c r="E20" s="204"/>
      <c r="F20" s="204"/>
    </row>
    <row r="21" spans="1:6" ht="15.75">
      <c r="A21" s="204"/>
      <c r="B21" s="1488" t="s">
        <v>127</v>
      </c>
      <c r="C21" s="1488"/>
      <c r="D21" s="1488"/>
      <c r="E21" s="204"/>
      <c r="F21" s="204"/>
    </row>
    <row r="22" spans="1:6" ht="15.75">
      <c r="A22" s="204"/>
      <c r="B22" s="1151"/>
      <c r="C22" s="204"/>
      <c r="D22" s="204"/>
      <c r="E22" s="204"/>
      <c r="F22" s="204"/>
    </row>
    <row r="23" spans="1:6" ht="18">
      <c r="A23" s="204"/>
      <c r="B23" s="1152" t="s">
        <v>119</v>
      </c>
      <c r="C23" s="204"/>
      <c r="D23" s="204"/>
      <c r="E23" s="204"/>
      <c r="F23" s="204"/>
    </row>
    <row r="24" spans="1:6" ht="18">
      <c r="A24" s="204"/>
      <c r="B24" s="1152"/>
      <c r="C24" s="204"/>
      <c r="D24" s="204"/>
      <c r="E24" s="204"/>
      <c r="F24" s="204"/>
    </row>
    <row r="25" spans="1:6" s="1154" customFormat="1" ht="91.5" customHeight="1">
      <c r="A25" s="1153"/>
      <c r="B25" s="1487" t="s">
        <v>221</v>
      </c>
      <c r="C25" s="1487"/>
      <c r="D25" s="1487"/>
      <c r="E25" s="1153"/>
      <c r="F25" s="1153"/>
    </row>
    <row r="26" spans="1:6" s="1154" customFormat="1" ht="29.25" customHeight="1">
      <c r="A26" s="1153"/>
      <c r="B26" s="1487"/>
      <c r="C26" s="1487"/>
      <c r="D26" s="1487"/>
      <c r="E26" s="1153"/>
      <c r="F26" s="1153"/>
    </row>
    <row r="27" spans="1:6" s="1154" customFormat="1" ht="22.5" customHeight="1">
      <c r="A27" s="1153"/>
      <c r="B27" s="1152" t="s">
        <v>120</v>
      </c>
      <c r="C27" s="1150"/>
      <c r="D27" s="1150"/>
      <c r="E27" s="1153"/>
      <c r="F27" s="1153"/>
    </row>
    <row r="28" spans="1:6" s="1154" customFormat="1" ht="46.5" customHeight="1">
      <c r="A28" s="1153"/>
      <c r="B28" s="1486" t="s">
        <v>792</v>
      </c>
      <c r="C28" s="1486"/>
      <c r="D28" s="1486"/>
      <c r="E28" s="1153"/>
      <c r="F28" s="1153"/>
    </row>
    <row r="29" spans="1:6" s="1154" customFormat="1" ht="22.5" customHeight="1" thickBot="1">
      <c r="A29" s="1153"/>
      <c r="B29" s="1150"/>
      <c r="C29" s="1150"/>
      <c r="D29" s="1150"/>
      <c r="E29" s="1153"/>
      <c r="F29" s="1153"/>
    </row>
    <row r="30" spans="1:6" s="1156" customFormat="1" ht="29.25" customHeight="1" thickTop="1">
      <c r="A30" s="1155"/>
      <c r="B30" s="1145" t="s">
        <v>107</v>
      </c>
      <c r="C30" s="1143" t="s">
        <v>688</v>
      </c>
      <c r="D30" s="1144" t="str">
        <f>$B$7</f>
        <v>Select NHS board</v>
      </c>
      <c r="E30" s="1155"/>
      <c r="F30" s="1155"/>
    </row>
    <row r="31" spans="1:6" ht="15.75">
      <c r="A31" s="204"/>
      <c r="B31" s="1135"/>
      <c r="C31" s="226"/>
      <c r="D31" s="1136"/>
      <c r="E31" s="204"/>
      <c r="F31" s="204"/>
    </row>
    <row r="32" spans="1:6" ht="15.75">
      <c r="A32" s="204"/>
      <c r="B32" s="1137" t="s">
        <v>121</v>
      </c>
      <c r="C32" s="206"/>
      <c r="D32" s="1136"/>
      <c r="E32" s="204"/>
      <c r="F32" s="204"/>
    </row>
    <row r="33" spans="1:6" ht="15.75">
      <c r="A33" s="204"/>
      <c r="B33" s="1138" t="s">
        <v>146</v>
      </c>
      <c r="C33" s="207">
        <f>'STEP 2. Education'!$E$128</f>
        <v>713967.01298789342</v>
      </c>
      <c r="D33" s="1139">
        <f>'STEP 2. Education'!H128</f>
        <v>0</v>
      </c>
      <c r="E33" s="204"/>
      <c r="F33" s="1277"/>
    </row>
    <row r="34" spans="1:6" ht="15.75">
      <c r="A34" s="204"/>
      <c r="B34" s="1138" t="s">
        <v>793</v>
      </c>
      <c r="C34" s="207">
        <f>'STEP 2. Psychological Interv''ns'!$E$40</f>
        <v>174390.97938701298</v>
      </c>
      <c r="D34" s="1139">
        <f>'STEP 2. Psychological Interv''ns'!$H$40</f>
        <v>0</v>
      </c>
      <c r="E34" s="204"/>
      <c r="F34" s="204"/>
    </row>
    <row r="35" spans="1:6" ht="15.75">
      <c r="A35" s="204"/>
      <c r="B35" s="1138" t="s">
        <v>147</v>
      </c>
      <c r="C35" s="1157" t="s">
        <v>773</v>
      </c>
      <c r="D35" s="1139">
        <f>IF(D30="Select NHS board",0,'STEP 2. Insulin analogues'!E72)</f>
        <v>0</v>
      </c>
      <c r="E35" s="204"/>
      <c r="F35" s="204"/>
    </row>
    <row r="36" spans="1:6" ht="15.75">
      <c r="A36" s="204"/>
      <c r="B36" s="1138" t="s">
        <v>149</v>
      </c>
      <c r="C36" s="207">
        <f>'STEP 2. CSII'!$E$130</f>
        <v>936997.57942819514</v>
      </c>
      <c r="D36" s="1139">
        <f>'STEP 2. CSII'!$H$130</f>
        <v>0</v>
      </c>
      <c r="E36" s="204"/>
      <c r="F36" s="204"/>
    </row>
    <row r="37" spans="1:6" ht="15.75">
      <c r="A37" s="204"/>
      <c r="B37" s="1138" t="s">
        <v>716</v>
      </c>
      <c r="C37" s="207">
        <f>'STEP 2. Gestational diabetes'!$E$81</f>
        <v>362315.19791837095</v>
      </c>
      <c r="D37" s="1139">
        <f>'STEP 2. Gestational diabetes'!$H$81</f>
        <v>0</v>
      </c>
      <c r="E37" s="204"/>
      <c r="F37" s="204"/>
    </row>
    <row r="38" spans="1:6" ht="15.75">
      <c r="A38" s="204"/>
      <c r="B38" s="1138" t="s">
        <v>156</v>
      </c>
      <c r="C38" s="207">
        <f>'STEP 2.Lipid-lowering therapy'!$E$58</f>
        <v>281193</v>
      </c>
      <c r="D38" s="1139">
        <f>'STEP 2.Lipid-lowering therapy'!$H$58</f>
        <v>0</v>
      </c>
      <c r="E38" s="204"/>
      <c r="F38" s="204"/>
    </row>
    <row r="39" spans="1:6" ht="15.75">
      <c r="A39" s="204"/>
      <c r="B39" s="1138" t="s">
        <v>157</v>
      </c>
      <c r="C39" s="207">
        <f>'STEP 2.Drug-eluting stents'!$E$30</f>
        <v>74953.667249999999</v>
      </c>
      <c r="D39" s="1139">
        <f>'STEP 2.Drug-eluting stents'!$I$30</f>
        <v>0</v>
      </c>
      <c r="E39" s="204"/>
      <c r="F39" s="204"/>
    </row>
    <row r="40" spans="1:6" s="1159" customFormat="1" ht="18.75" thickBot="1">
      <c r="A40" s="1158"/>
      <c r="B40" s="1140" t="s">
        <v>122</v>
      </c>
      <c r="C40" s="1141">
        <f>SUM(C33:C39)</f>
        <v>2543817.4369714726</v>
      </c>
      <c r="D40" s="1142">
        <f>SUM(D33:D39)</f>
        <v>0</v>
      </c>
      <c r="E40" s="1158"/>
      <c r="F40" s="1158"/>
    </row>
    <row r="41" spans="1:6" ht="16.5" thickTop="1">
      <c r="A41" s="204"/>
      <c r="B41" s="205"/>
      <c r="C41" s="1160"/>
      <c r="D41" s="207"/>
      <c r="E41" s="204"/>
      <c r="F41" s="204"/>
    </row>
    <row r="42" spans="1:6" ht="18">
      <c r="A42" s="204"/>
      <c r="B42" s="1152"/>
      <c r="C42" s="1160"/>
      <c r="D42" s="207"/>
      <c r="E42" s="204"/>
      <c r="F42" s="204"/>
    </row>
    <row r="43" spans="1:6" ht="46.5" customHeight="1">
      <c r="A43" s="204"/>
      <c r="B43" s="1486"/>
      <c r="C43" s="1486"/>
      <c r="D43" s="1486"/>
      <c r="E43" s="1486"/>
      <c r="F43" s="1486"/>
    </row>
    <row r="44" spans="1:6">
      <c r="A44" s="204"/>
      <c r="B44" s="204"/>
      <c r="C44" s="204"/>
      <c r="D44" s="204"/>
      <c r="E44" s="204"/>
      <c r="F44" s="204"/>
    </row>
    <row r="45" spans="1:6">
      <c r="A45" s="204"/>
      <c r="B45" s="204"/>
      <c r="C45" s="204"/>
      <c r="D45" s="204"/>
      <c r="E45" s="204"/>
      <c r="F45" s="204"/>
    </row>
    <row r="46" spans="1:6">
      <c r="A46" s="204"/>
      <c r="B46" s="204"/>
      <c r="C46" s="204"/>
      <c r="D46" s="204"/>
      <c r="E46" s="204"/>
      <c r="F46" s="204"/>
    </row>
    <row r="47" spans="1:6">
      <c r="A47" s="204"/>
      <c r="B47" s="204"/>
      <c r="C47" s="204"/>
      <c r="D47" s="204"/>
      <c r="E47" s="204"/>
      <c r="F47" s="204"/>
    </row>
    <row r="48" spans="1:6">
      <c r="A48" s="204"/>
      <c r="B48" s="204"/>
      <c r="C48" s="204"/>
      <c r="D48" s="204"/>
      <c r="E48" s="204"/>
      <c r="F48" s="204"/>
    </row>
    <row r="49" spans="1:6">
      <c r="A49" s="204"/>
      <c r="B49" s="204"/>
      <c r="C49" s="204"/>
      <c r="D49" s="204"/>
      <c r="E49" s="204"/>
      <c r="F49" s="204"/>
    </row>
    <row r="50" spans="1:6">
      <c r="A50" s="204"/>
      <c r="B50" s="204"/>
      <c r="C50" s="204"/>
      <c r="D50" s="204"/>
      <c r="E50" s="204"/>
      <c r="F50" s="204"/>
    </row>
    <row r="51" spans="1:6">
      <c r="A51" s="204"/>
      <c r="B51" s="204"/>
      <c r="C51" s="204"/>
      <c r="D51" s="204"/>
      <c r="E51" s="204"/>
      <c r="F51" s="204"/>
    </row>
    <row r="52" spans="1:6">
      <c r="A52" s="204"/>
      <c r="B52" s="204"/>
      <c r="C52" s="204"/>
      <c r="D52" s="204"/>
      <c r="E52" s="204"/>
      <c r="F52" s="204"/>
    </row>
    <row r="53" spans="1:6">
      <c r="A53" s="204"/>
      <c r="B53" s="204"/>
      <c r="C53" s="204"/>
      <c r="D53" s="204"/>
      <c r="E53" s="204"/>
      <c r="F53" s="204"/>
    </row>
    <row r="54" spans="1:6">
      <c r="A54" s="204"/>
      <c r="B54" s="204"/>
      <c r="C54" s="204"/>
      <c r="D54" s="204"/>
      <c r="E54" s="204"/>
      <c r="F54" s="204"/>
    </row>
    <row r="55" spans="1:6">
      <c r="A55" s="204"/>
      <c r="B55" s="204"/>
      <c r="C55" s="204"/>
      <c r="D55" s="204"/>
      <c r="E55" s="204"/>
      <c r="F55" s="204"/>
    </row>
    <row r="56" spans="1:6">
      <c r="A56" s="204"/>
      <c r="B56" s="204"/>
      <c r="C56" s="204"/>
      <c r="D56" s="204"/>
      <c r="E56" s="204"/>
      <c r="F56" s="204"/>
    </row>
    <row r="57" spans="1:6">
      <c r="A57" s="204"/>
      <c r="B57" s="204"/>
      <c r="C57" s="204"/>
      <c r="D57" s="204"/>
      <c r="E57" s="204"/>
      <c r="F57" s="204"/>
    </row>
    <row r="58" spans="1:6">
      <c r="A58" s="204"/>
      <c r="B58" s="204"/>
      <c r="C58" s="204"/>
      <c r="D58" s="204"/>
      <c r="E58" s="204"/>
      <c r="F58" s="204"/>
    </row>
    <row r="59" spans="1:6">
      <c r="A59" s="204"/>
      <c r="B59" s="204"/>
      <c r="C59" s="204"/>
      <c r="D59" s="204"/>
      <c r="E59" s="204"/>
      <c r="F59" s="204"/>
    </row>
    <row r="60" spans="1:6">
      <c r="A60" s="204"/>
      <c r="B60" s="204"/>
      <c r="C60" s="204"/>
      <c r="D60" s="204"/>
      <c r="E60" s="204"/>
      <c r="F60" s="204"/>
    </row>
    <row r="61" spans="1:6">
      <c r="A61" s="204"/>
      <c r="B61" s="204"/>
      <c r="C61" s="204"/>
      <c r="D61" s="204"/>
      <c r="E61" s="204"/>
      <c r="F61" s="204"/>
    </row>
    <row r="62" spans="1:6">
      <c r="A62" s="204"/>
      <c r="B62" s="204"/>
      <c r="C62" s="204"/>
      <c r="D62" s="204"/>
      <c r="E62" s="204"/>
      <c r="F62" s="204"/>
    </row>
    <row r="63" spans="1:6">
      <c r="A63" s="204"/>
      <c r="B63" s="204"/>
      <c r="C63" s="204"/>
      <c r="D63" s="204"/>
      <c r="E63" s="204"/>
      <c r="F63" s="204"/>
    </row>
    <row r="64" spans="1:6">
      <c r="A64" s="204"/>
      <c r="B64" s="204"/>
      <c r="C64" s="204"/>
      <c r="D64" s="204"/>
      <c r="E64" s="204"/>
      <c r="F64" s="204"/>
    </row>
  </sheetData>
  <sheetProtection password="C7D8" sheet="1" objects="1" scenarios="1"/>
  <mergeCells count="16">
    <mergeCell ref="B6:D6"/>
    <mergeCell ref="B3:F3"/>
    <mergeCell ref="B4:F4"/>
    <mergeCell ref="B11:D11"/>
    <mergeCell ref="B8:D8"/>
    <mergeCell ref="B43:F43"/>
    <mergeCell ref="B13:D13"/>
    <mergeCell ref="B25:D25"/>
    <mergeCell ref="B19:D19"/>
    <mergeCell ref="B20:D20"/>
    <mergeCell ref="B21:D21"/>
    <mergeCell ref="B16:D16"/>
    <mergeCell ref="B17:D17"/>
    <mergeCell ref="B18:D18"/>
    <mergeCell ref="B26:D26"/>
    <mergeCell ref="B28:D28"/>
  </mergeCells>
  <phoneticPr fontId="4" type="noConversion"/>
  <pageMargins left="0.75" right="0.75" top="1" bottom="1" header="0.5" footer="0.5"/>
  <pageSetup paperSize="9" scale="64" orientation="portrait" r:id="rId1"/>
  <headerFooter alignWithMargins="0"/>
  <rowBreaks count="1" manualBreakCount="1">
    <brk id="41" max="5" man="1"/>
  </rowBreaks>
  <drawing r:id="rId2"/>
</worksheet>
</file>

<file path=xl/worksheets/sheet3.xml><?xml version="1.0" encoding="utf-8"?>
<worksheet xmlns="http://schemas.openxmlformats.org/spreadsheetml/2006/main" xmlns:r="http://schemas.openxmlformats.org/officeDocument/2006/relationships">
  <sheetPr codeName="Sheet3">
    <pageSetUpPr autoPageBreaks="0"/>
  </sheetPr>
  <dimension ref="A1:H31"/>
  <sheetViews>
    <sheetView showGridLines="0" showRowColHeaders="0" workbookViewId="0">
      <pane ySplit="2" topLeftCell="A3" activePane="bottomLeft" state="frozen"/>
      <selection pane="bottomLeft" activeCell="C1" sqref="C1"/>
    </sheetView>
  </sheetViews>
  <sheetFormatPr defaultRowHeight="15"/>
  <cols>
    <col min="1" max="1" width="79" style="210" bestFit="1" customWidth="1"/>
    <col min="2" max="2" width="1.77734375" style="210" customWidth="1"/>
    <col min="3" max="3" width="18.33203125" style="27" customWidth="1"/>
    <col min="4" max="16384" width="8.88671875" style="27"/>
  </cols>
  <sheetData>
    <row r="1" spans="1:8" s="332" customFormat="1" ht="80.099999999999994" customHeight="1" thickBot="1">
      <c r="A1" s="1307" t="s">
        <v>803</v>
      </c>
      <c r="B1" s="1307"/>
      <c r="C1" s="677"/>
      <c r="D1" s="677"/>
      <c r="E1" s="677"/>
      <c r="F1" s="677"/>
      <c r="G1" s="677"/>
      <c r="H1" s="331"/>
    </row>
    <row r="2" spans="1:8" ht="50.1" customHeight="1" thickTop="1" thickBot="1">
      <c r="A2" s="1317" t="s">
        <v>715</v>
      </c>
      <c r="B2" s="1318"/>
      <c r="C2" s="1319"/>
    </row>
    <row r="3" spans="1:8" ht="15" customHeight="1" thickTop="1" thickBot="1"/>
    <row r="4" spans="1:8" s="218" customFormat="1" ht="24.95" customHeight="1" thickTop="1" thickBot="1">
      <c r="A4" s="217" t="s">
        <v>164</v>
      </c>
      <c r="B4" s="214"/>
      <c r="C4" s="1311" t="s">
        <v>510</v>
      </c>
    </row>
    <row r="5" spans="1:8" ht="46.5">
      <c r="A5" s="15" t="s">
        <v>222</v>
      </c>
      <c r="B5" s="15"/>
      <c r="C5" s="1314"/>
      <c r="D5" s="209"/>
    </row>
    <row r="6" spans="1:8" ht="31.5">
      <c r="A6" s="15" t="s">
        <v>163</v>
      </c>
      <c r="B6" s="15"/>
      <c r="C6" s="1314"/>
      <c r="D6" s="211"/>
    </row>
    <row r="7" spans="1:8" ht="32.25" thickBot="1">
      <c r="A7" s="15" t="s">
        <v>162</v>
      </c>
      <c r="B7" s="15"/>
      <c r="C7" s="1315"/>
    </row>
    <row r="8" spans="1:8" ht="15" customHeight="1" thickTop="1" thickBot="1"/>
    <row r="9" spans="1:8" s="213" customFormat="1" ht="36.950000000000003" customHeight="1" thickTop="1" thickBot="1">
      <c r="A9" s="217" t="s">
        <v>165</v>
      </c>
      <c r="B9" s="214"/>
      <c r="C9" s="1311" t="s">
        <v>169</v>
      </c>
    </row>
    <row r="10" spans="1:8" ht="47.25" thickBot="1">
      <c r="A10" s="15" t="s">
        <v>161</v>
      </c>
      <c r="B10" s="15"/>
      <c r="C10" s="1315"/>
    </row>
    <row r="11" spans="1:8" ht="15" customHeight="1" thickTop="1" thickBot="1"/>
    <row r="12" spans="1:8" ht="19.5" thickTop="1" thickBot="1">
      <c r="A12" s="216" t="s">
        <v>166</v>
      </c>
      <c r="B12" s="208"/>
      <c r="C12" s="1311" t="s">
        <v>166</v>
      </c>
    </row>
    <row r="13" spans="1:8" ht="30.75" customHeight="1">
      <c r="A13" s="15" t="s">
        <v>158</v>
      </c>
      <c r="B13" s="38"/>
      <c r="C13" s="1314"/>
      <c r="D13" s="38"/>
      <c r="E13" s="38"/>
      <c r="F13" s="38"/>
      <c r="G13" s="38"/>
      <c r="H13" s="38"/>
    </row>
    <row r="14" spans="1:8" ht="45">
      <c r="A14" s="39" t="s">
        <v>153</v>
      </c>
      <c r="B14" s="39"/>
      <c r="C14" s="1314"/>
      <c r="D14" s="39"/>
      <c r="E14" s="39"/>
      <c r="F14" s="39"/>
      <c r="G14" s="39"/>
      <c r="H14" s="39"/>
    </row>
    <row r="15" spans="1:8" ht="30.75" thickBot="1">
      <c r="A15" s="39" t="s">
        <v>154</v>
      </c>
      <c r="B15" s="39"/>
      <c r="C15" s="1315"/>
      <c r="D15" s="39"/>
      <c r="E15" s="39"/>
      <c r="F15" s="39"/>
      <c r="G15" s="39"/>
      <c r="H15" s="39"/>
    </row>
    <row r="16" spans="1:8" ht="15" customHeight="1" thickTop="1" thickBot="1">
      <c r="A16" s="39"/>
      <c r="B16" s="39"/>
      <c r="C16" s="39"/>
      <c r="D16" s="39"/>
      <c r="E16" s="39"/>
      <c r="F16" s="39"/>
      <c r="G16" s="39"/>
      <c r="H16" s="39"/>
    </row>
    <row r="17" spans="1:8" s="219" customFormat="1" ht="19.5" thickTop="1" thickBot="1">
      <c r="A17" s="217" t="s">
        <v>148</v>
      </c>
      <c r="B17" s="214"/>
      <c r="C17" s="1311" t="s">
        <v>149</v>
      </c>
    </row>
    <row r="18" spans="1:8" ht="30.75">
      <c r="A18" s="15" t="s">
        <v>159</v>
      </c>
      <c r="B18" s="38"/>
      <c r="C18" s="1316"/>
      <c r="D18" s="38"/>
      <c r="E18" s="38"/>
      <c r="F18" s="38"/>
      <c r="G18" s="38"/>
      <c r="H18" s="38"/>
    </row>
    <row r="19" spans="1:8" ht="30.75" thickBot="1">
      <c r="A19" s="39" t="s">
        <v>344</v>
      </c>
      <c r="B19" s="39"/>
      <c r="C19" s="1313"/>
      <c r="D19" s="39"/>
      <c r="E19" s="39"/>
      <c r="F19" s="39"/>
      <c r="G19" s="39"/>
      <c r="H19" s="39"/>
    </row>
    <row r="20" spans="1:8" ht="15" customHeight="1" thickTop="1" thickBot="1">
      <c r="A20" s="39"/>
      <c r="B20" s="39"/>
      <c r="C20" s="39"/>
      <c r="D20" s="39"/>
      <c r="E20" s="39"/>
      <c r="F20" s="39"/>
      <c r="G20" s="39"/>
      <c r="H20" s="39"/>
    </row>
    <row r="21" spans="1:8" ht="19.5" thickTop="1" thickBot="1">
      <c r="A21" s="217" t="s">
        <v>716</v>
      </c>
      <c r="B21" s="220"/>
      <c r="C21" s="1311" t="s">
        <v>716</v>
      </c>
    </row>
    <row r="22" spans="1:8" ht="30.75">
      <c r="A22" s="17" t="s">
        <v>219</v>
      </c>
      <c r="C22" s="1316"/>
    </row>
    <row r="23" spans="1:8" ht="45">
      <c r="A23" s="210" t="s">
        <v>150</v>
      </c>
      <c r="C23" s="1316"/>
    </row>
    <row r="24" spans="1:8" ht="30.75" thickBot="1">
      <c r="A24" s="210" t="s">
        <v>155</v>
      </c>
      <c r="C24" s="1313"/>
    </row>
    <row r="25" spans="1:8" ht="15" customHeight="1" thickTop="1" thickBot="1">
      <c r="C25" s="27" t="s">
        <v>802</v>
      </c>
    </row>
    <row r="26" spans="1:8" ht="17.25" customHeight="1" thickTop="1" thickBot="1">
      <c r="A26" s="217" t="s">
        <v>167</v>
      </c>
      <c r="B26" s="221"/>
      <c r="C26" s="1311" t="s">
        <v>183</v>
      </c>
    </row>
    <row r="27" spans="1:8" ht="46.5" thickBot="1">
      <c r="A27" s="222" t="s">
        <v>160</v>
      </c>
      <c r="B27" s="212"/>
      <c r="C27" s="1312"/>
    </row>
    <row r="28" spans="1:8" ht="15" customHeight="1" thickTop="1" thickBot="1"/>
    <row r="29" spans="1:8" ht="19.5" thickTop="1" thickBot="1">
      <c r="A29" s="217" t="s">
        <v>168</v>
      </c>
      <c r="B29" s="215"/>
      <c r="C29" s="1311" t="s">
        <v>168</v>
      </c>
    </row>
    <row r="30" spans="1:8" ht="46.5" thickBot="1">
      <c r="A30" s="15" t="s">
        <v>218</v>
      </c>
      <c r="B30" s="38"/>
      <c r="C30" s="1313"/>
    </row>
    <row r="31" spans="1:8" ht="15.75" thickTop="1"/>
  </sheetData>
  <sheetProtection password="C7D8" sheet="1" objects="1" scenarios="1"/>
  <mergeCells count="9">
    <mergeCell ref="C26:C27"/>
    <mergeCell ref="C29:C30"/>
    <mergeCell ref="A1:B1"/>
    <mergeCell ref="C12:C15"/>
    <mergeCell ref="C17:C19"/>
    <mergeCell ref="C21:C24"/>
    <mergeCell ref="A2:C2"/>
    <mergeCell ref="C4:C7"/>
    <mergeCell ref="C9:C10"/>
  </mergeCells>
  <phoneticPr fontId="4" type="noConversion"/>
  <dataValidations xWindow="895" yWindow="339" count="8">
    <dataValidation allowBlank="1" showInputMessage="1" showErrorMessage="1" promptTitle="Costing template" prompt="Click on a grey cell to go to the corresponding costing template for the recommendations._x000a__x000a_" sqref="C28"/>
    <dataValidation allowBlank="1" showInputMessage="1" showErrorMessage="1" promptTitle="Costing template" prompt="Click here (grey box) to go to the costing template for recommendations relating to Structured education programmes._x000a__x000a_" sqref="C4:C7"/>
    <dataValidation allowBlank="1" showInputMessage="1" showErrorMessage="1" promptTitle="Costing template" prompt="Click here (grey box) to go to the costing template for the recommendations relating to Psychological Interventions._x000a__x000a_" sqref="C9:C10"/>
    <dataValidation allowBlank="1" showInputMessage="1" showErrorMessage="1" promptTitle="Costing template" prompt="Click here (grey box) to go to the costing template for recommendations relating to Insulin analogues._x000a__x000a_" sqref="C12:C15"/>
    <dataValidation allowBlank="1" showInputMessage="1" showErrorMessage="1" promptTitle="Costing template" prompt="Click here (grey box) to go to the costing template for the recommendations relating to CSII therapy._x000a__x000a_" sqref="C17:C19 C20"/>
    <dataValidation allowBlank="1" showInputMessage="1" showErrorMessage="1" promptTitle="Costing template" prompt="Click here (grey box) to go to the costing template for the recommendations relating to Gestational diabetes._x000a__x000a_" sqref="C21:C24"/>
    <dataValidation allowBlank="1" showInputMessage="1" showErrorMessage="1" promptTitle="Costing template" prompt="Click here (grey box) to go to the costing template for the recommendations relating to Lipid-lowering therapy._x000a__x000a__x000a_" sqref="C26:C27"/>
    <dataValidation allowBlank="1" showInputMessage="1" showErrorMessage="1" promptTitle="Costing template" prompt="Click here (grey box) to go to the costing template for the recommendations relating to Drug-eluting stents._x000a__x000a_" sqref="C29:C30"/>
  </dataValidations>
  <hyperlinks>
    <hyperlink ref="C4" location="'STEP 2.Costing template Educati'!A1" display="Education"/>
    <hyperlink ref="C9" location="'STEP 2.Costing template Psyc In'!A1" display="Psychological Intervention "/>
    <hyperlink ref="C12" location="'STEP 2.Costing template Insulin'!A1" display="Management of diabetes"/>
    <hyperlink ref="C17:C19" location="'STEP 2. CSII'!A1" display="CSII therapy"/>
    <hyperlink ref="C21:C24" location="'STEP 2. Gestational diabetes'!A1" display="Gestational diabetes"/>
    <hyperlink ref="C26:C27" location="'STEP 2.Lipid-lowering therapy'!A1" display="Statins"/>
    <hyperlink ref="C29:C30" location="'STEP 2.Drug-eluting stents'!A1" display="Stents"/>
    <hyperlink ref="C4:C7" location="'STEP 2. Education'!A1" display="Structured education programmes"/>
    <hyperlink ref="C9:C10" location="'STEP 2. Psychological Interv''ns'!A1" display="Psychological Intervention "/>
    <hyperlink ref="C12:C15" location="'STEP 2. Insulin analogues'!A1" display="Insulin analogues"/>
  </hyperlinks>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sheetPr codeName="Sheet9">
    <pageSetUpPr autoPageBreaks="0" fitToPage="1"/>
  </sheetPr>
  <dimension ref="A1:IB28"/>
  <sheetViews>
    <sheetView showGridLines="0" showRowColHeaders="0" showOutlineSymbols="0" workbookViewId="0">
      <pane xSplit="2" ySplit="10" topLeftCell="C11" activePane="bottomRight" state="frozen"/>
      <selection pane="topRight" activeCell="C1" sqref="C1"/>
      <selection pane="bottomLeft" activeCell="A14" sqref="A14"/>
      <selection pane="bottomRight" activeCell="B7" sqref="B7"/>
    </sheetView>
  </sheetViews>
  <sheetFormatPr defaultRowHeight="15"/>
  <cols>
    <col min="1" max="1" width="20.88671875" style="2" customWidth="1"/>
    <col min="2" max="2" width="22.21875" style="2" customWidth="1"/>
    <col min="3" max="3" width="6" style="2" customWidth="1"/>
    <col min="4" max="4" width="7.21875" style="2" customWidth="1"/>
    <col min="5" max="5" width="4.33203125" style="2" customWidth="1"/>
    <col min="6" max="7" width="8.21875" style="2" customWidth="1"/>
    <col min="8" max="8" width="8.109375" style="2" customWidth="1"/>
    <col min="9" max="9" width="8.88671875" style="2"/>
    <col min="10" max="10" width="6.6640625" style="2" customWidth="1"/>
    <col min="11" max="12" width="8.88671875" style="2"/>
    <col min="13" max="13" width="5.5546875" style="2" customWidth="1"/>
    <col min="14" max="15" width="8.88671875" style="2"/>
    <col min="16" max="17" width="7.33203125" style="2" customWidth="1"/>
    <col min="18" max="18" width="6" style="2" customWidth="1"/>
    <col min="19" max="19" width="5.88671875" style="2" customWidth="1"/>
    <col min="20" max="20" width="6.21875" style="2" customWidth="1"/>
    <col min="21" max="23" width="8.88671875" style="2"/>
    <col min="24" max="24" width="12.6640625" style="2" customWidth="1"/>
    <col min="25" max="226" width="8.88671875" style="2"/>
    <col min="227" max="16384" width="8.88671875" style="41"/>
  </cols>
  <sheetData>
    <row r="1" spans="1:236" ht="23.25">
      <c r="A1" s="1307" t="s">
        <v>803</v>
      </c>
      <c r="B1" s="1307"/>
      <c r="C1"/>
    </row>
    <row r="3" spans="1:236">
      <c r="A3"/>
      <c r="HS3" s="18"/>
      <c r="HT3" s="18"/>
      <c r="HU3" s="18"/>
      <c r="HV3" s="18"/>
      <c r="HW3" s="18"/>
      <c r="HX3" s="18"/>
      <c r="HY3" s="18"/>
      <c r="HZ3" s="18"/>
      <c r="IA3" s="18"/>
      <c r="IB3" s="18"/>
    </row>
    <row r="4" spans="1:236" ht="15.75">
      <c r="A4" s="1" t="s">
        <v>693</v>
      </c>
      <c r="B4"/>
      <c r="D4"/>
      <c r="HS4" s="18"/>
      <c r="HT4" s="18"/>
      <c r="HU4" s="18"/>
      <c r="HV4" s="18"/>
      <c r="HW4" s="18"/>
      <c r="HX4" s="18"/>
      <c r="HY4" s="18"/>
      <c r="HZ4" s="18"/>
      <c r="IA4" s="18"/>
      <c r="IB4" s="18"/>
    </row>
    <row r="5" spans="1:236">
      <c r="C5"/>
    </row>
    <row r="6" spans="1:236" s="225" customFormat="1">
      <c r="A6" s="223">
        <v>1</v>
      </c>
      <c r="B6" s="224">
        <v>2</v>
      </c>
      <c r="C6" s="224">
        <v>3</v>
      </c>
      <c r="D6" s="224">
        <v>4</v>
      </c>
      <c r="E6" s="224">
        <v>5</v>
      </c>
      <c r="F6" s="224">
        <v>6</v>
      </c>
      <c r="G6" s="223">
        <v>7</v>
      </c>
      <c r="H6" s="224">
        <v>8</v>
      </c>
      <c r="I6" s="223">
        <v>9</v>
      </c>
      <c r="J6" s="224">
        <v>10</v>
      </c>
      <c r="K6" s="223">
        <v>11</v>
      </c>
      <c r="L6" s="224">
        <v>12</v>
      </c>
      <c r="M6" s="223">
        <v>13</v>
      </c>
      <c r="N6" s="224">
        <v>14</v>
      </c>
      <c r="O6" s="223">
        <v>15</v>
      </c>
      <c r="P6" s="224">
        <v>16</v>
      </c>
      <c r="Q6" s="223">
        <v>17</v>
      </c>
      <c r="R6" s="224">
        <v>18</v>
      </c>
      <c r="S6" s="223">
        <v>19</v>
      </c>
      <c r="T6" s="224">
        <v>20</v>
      </c>
      <c r="U6" s="223">
        <v>21</v>
      </c>
      <c r="V6" s="224">
        <v>22</v>
      </c>
      <c r="W6" s="223">
        <v>23</v>
      </c>
      <c r="X6" s="224">
        <v>24</v>
      </c>
      <c r="Y6" s="223">
        <v>25</v>
      </c>
      <c r="Z6" s="224">
        <v>26</v>
      </c>
    </row>
    <row r="7" spans="1:236" ht="16.5" thickBot="1">
      <c r="A7" s="1" t="s">
        <v>677</v>
      </c>
      <c r="B7" s="1248" t="s">
        <v>678</v>
      </c>
      <c r="E7"/>
      <c r="HS7" s="18"/>
      <c r="HT7" s="18"/>
      <c r="HU7" s="18"/>
      <c r="HV7" s="18"/>
      <c r="HW7" s="18"/>
      <c r="HX7" s="18"/>
      <c r="HY7" s="18"/>
      <c r="HZ7" s="18"/>
      <c r="IA7" s="18"/>
      <c r="IB7" s="18"/>
    </row>
    <row r="8" spans="1:236" ht="85.5" customHeight="1" thickTop="1" thickBot="1">
      <c r="A8" s="1331" t="s">
        <v>677</v>
      </c>
      <c r="B8" s="1325" t="s">
        <v>689</v>
      </c>
      <c r="C8" s="1329" t="s">
        <v>348</v>
      </c>
      <c r="D8" s="1335" t="s">
        <v>697</v>
      </c>
      <c r="E8" s="1337"/>
      <c r="F8" s="1337"/>
      <c r="G8" s="1337"/>
      <c r="H8" s="1336"/>
      <c r="I8" s="1335" t="s">
        <v>698</v>
      </c>
      <c r="J8" s="1336"/>
      <c r="K8" s="1333" t="s">
        <v>225</v>
      </c>
      <c r="L8" s="1325" t="s">
        <v>699</v>
      </c>
      <c r="M8" s="1327" t="s">
        <v>694</v>
      </c>
      <c r="N8" s="1329" t="s">
        <v>224</v>
      </c>
      <c r="O8" s="1333" t="s">
        <v>724</v>
      </c>
      <c r="P8" s="1335" t="s">
        <v>543</v>
      </c>
      <c r="Q8" s="1336"/>
      <c r="R8" s="1320" t="s">
        <v>736</v>
      </c>
      <c r="S8" s="1321"/>
      <c r="T8" s="1322"/>
      <c r="U8" s="1320" t="s">
        <v>737</v>
      </c>
      <c r="V8" s="1321"/>
      <c r="W8" s="1322"/>
      <c r="X8" s="1323" t="s">
        <v>738</v>
      </c>
      <c r="Y8" s="1323" t="s">
        <v>739</v>
      </c>
      <c r="Z8" s="1323" t="s">
        <v>741</v>
      </c>
      <c r="HS8" s="18"/>
      <c r="HT8" s="18"/>
      <c r="HU8" s="18"/>
      <c r="HV8" s="18"/>
      <c r="HW8" s="18"/>
      <c r="HX8" s="18"/>
      <c r="HY8" s="18"/>
      <c r="HZ8" s="18"/>
      <c r="IA8" s="18"/>
      <c r="IB8" s="18"/>
    </row>
    <row r="9" spans="1:236" ht="39" thickBot="1">
      <c r="A9" s="1332"/>
      <c r="B9" s="1326"/>
      <c r="C9" s="1330"/>
      <c r="D9" s="199" t="s">
        <v>349</v>
      </c>
      <c r="E9" s="59" t="s">
        <v>690</v>
      </c>
      <c r="F9" s="200" t="s">
        <v>350</v>
      </c>
      <c r="G9" s="200" t="s">
        <v>429</v>
      </c>
      <c r="H9" s="201" t="s">
        <v>351</v>
      </c>
      <c r="I9" s="199" t="s">
        <v>349</v>
      </c>
      <c r="J9" s="191" t="s">
        <v>690</v>
      </c>
      <c r="K9" s="1334"/>
      <c r="L9" s="1326"/>
      <c r="M9" s="1328"/>
      <c r="N9" s="1330"/>
      <c r="O9" s="1334"/>
      <c r="P9" s="202" t="s">
        <v>697</v>
      </c>
      <c r="Q9" s="201" t="s">
        <v>698</v>
      </c>
      <c r="R9" s="202" t="s">
        <v>697</v>
      </c>
      <c r="S9" s="200" t="s">
        <v>698</v>
      </c>
      <c r="T9" s="191" t="s">
        <v>661</v>
      </c>
      <c r="U9" s="198" t="s">
        <v>697</v>
      </c>
      <c r="V9" s="203" t="s">
        <v>698</v>
      </c>
      <c r="W9" s="191" t="s">
        <v>661</v>
      </c>
      <c r="X9" s="1324"/>
      <c r="Y9" s="1324"/>
      <c r="Z9" s="1324"/>
    </row>
    <row r="10" spans="1:236" ht="8.25" hidden="1" customHeight="1">
      <c r="A10" s="3" t="s">
        <v>678</v>
      </c>
      <c r="B10" s="190"/>
      <c r="C10" s="5"/>
      <c r="D10" s="190"/>
      <c r="E10" s="4"/>
      <c r="F10" s="4"/>
      <c r="G10" s="4"/>
      <c r="H10" s="5"/>
      <c r="I10" s="190"/>
      <c r="J10" s="5"/>
      <c r="K10" s="192"/>
      <c r="L10" s="193"/>
      <c r="M10" s="194"/>
      <c r="N10" s="195"/>
      <c r="O10" s="196"/>
      <c r="P10" s="36"/>
      <c r="Q10" s="5"/>
      <c r="R10" s="36">
        <v>110</v>
      </c>
      <c r="S10" s="4">
        <v>983</v>
      </c>
      <c r="T10" s="197">
        <f>R10+S10</f>
        <v>1093</v>
      </c>
      <c r="U10" s="36"/>
      <c r="V10" s="4"/>
      <c r="W10" s="5"/>
      <c r="X10" s="192"/>
      <c r="Y10" s="192"/>
      <c r="Z10" s="192"/>
      <c r="HS10" s="18"/>
      <c r="HT10" s="18"/>
      <c r="HU10" s="18"/>
      <c r="HV10" s="18"/>
      <c r="HW10" s="18"/>
      <c r="HX10" s="18"/>
      <c r="HY10" s="18"/>
      <c r="HZ10" s="18"/>
      <c r="IA10" s="18"/>
      <c r="IB10" s="18"/>
    </row>
    <row r="11" spans="1:236">
      <c r="A11" s="8" t="s">
        <v>662</v>
      </c>
      <c r="B11" s="1175">
        <f>'SDS 2009 Diabetes by NHS board'!$B$5</f>
        <v>18067</v>
      </c>
      <c r="C11" s="1290">
        <f>$B$11/$B$25</f>
        <v>7.9239837897580739E-2</v>
      </c>
      <c r="D11" s="1175">
        <f>'SDS 2009 Diabetes by NHS board'!$G$5</f>
        <v>2234</v>
      </c>
      <c r="E11" s="242">
        <f>$D$11/$D$25</f>
        <v>8.1631161618007084E-2</v>
      </c>
      <c r="F11" s="299">
        <f>'SDS 2009 Diabetes by NHS board'!$H$5</f>
        <v>88.422874264625278</v>
      </c>
      <c r="G11" s="1176">
        <f>'CSII assumptions&amp;unit costs'!$D$4</f>
        <v>2</v>
      </c>
      <c r="H11" s="1177">
        <f>'SDS 2009 Diabetes by NHS board'!$I$5</f>
        <v>2145.5771257353745</v>
      </c>
      <c r="I11" s="1175">
        <f>'SDS 2009 Diabetes by NHS board'!$J$5</f>
        <v>15754</v>
      </c>
      <c r="J11" s="1290">
        <f>$I$11/$I$25</f>
        <v>7.9060944274931752E-2</v>
      </c>
      <c r="K11" s="1292">
        <f>$D$11+$I$11</f>
        <v>17988</v>
      </c>
      <c r="L11" s="1178">
        <f>VLOOKUP($A$11,'SDS 2009 Diabetes by NHS board'!$A$3:$F$18,4,0)</f>
        <v>47.543902738548447</v>
      </c>
      <c r="M11" s="1179">
        <f>VLOOKUP($A$11,'SDS 2009 Diabetes by NHS board'!$A$3:$F$19,5,0)</f>
        <v>229.79552990298416</v>
      </c>
      <c r="N11" s="1180">
        <f>VLOOKUP($A$11,'SDS 2009 Diabetes by NHS board'!$A$3:$F$19,6,0)</f>
        <v>18067</v>
      </c>
      <c r="O11" s="1181">
        <v>4001.499237882329</v>
      </c>
      <c r="P11" s="1182">
        <f>'Structured education unit costs'!$B$7</f>
        <v>731</v>
      </c>
      <c r="Q11" s="1177">
        <f>'Structured education unit costs'!$E$7</f>
        <v>1814</v>
      </c>
      <c r="R11" s="1182">
        <f>'SDS 2009 Diabetes by NHS board'!$L$5</f>
        <v>110</v>
      </c>
      <c r="S11" s="299">
        <f>'SDS 2009 Diabetes by NHS board'!$M$5</f>
        <v>1587</v>
      </c>
      <c r="T11" s="1177">
        <f>'SDS 2009 Diabetes by NHS board'!$N$5</f>
        <v>1697</v>
      </c>
      <c r="U11" s="1182">
        <f>'SDS 2009 Diabetes by NHS board'!$O$5</f>
        <v>67</v>
      </c>
      <c r="V11" s="299">
        <f>'SDS 2009 Diabetes by NHS board'!$P$5</f>
        <v>983</v>
      </c>
      <c r="W11" s="1177">
        <f>'SDS 2009 Diabetes by NHS board'!$Q$5</f>
        <v>1050</v>
      </c>
      <c r="X11" s="1181">
        <f>'SDS 2009 Diabetes by NHS board'!$R$5</f>
        <v>2747</v>
      </c>
      <c r="Y11" s="1181">
        <f>'SDS 2009 Diabetes by NHS board'!$S$5</f>
        <v>27.724830682795037</v>
      </c>
      <c r="Z11" s="1181">
        <f>'SDS 2009 Diabetes by NHS board'!$T$5</f>
        <v>2774.7248306827951</v>
      </c>
      <c r="HS11" s="18"/>
      <c r="HT11" s="18"/>
      <c r="HU11" s="18"/>
      <c r="HV11" s="18"/>
      <c r="HW11" s="18"/>
      <c r="HX11" s="18"/>
      <c r="HY11" s="18"/>
      <c r="HZ11" s="18"/>
      <c r="IA11" s="18"/>
      <c r="IB11" s="18"/>
    </row>
    <row r="12" spans="1:236">
      <c r="A12" s="8" t="s">
        <v>663</v>
      </c>
      <c r="B12" s="1175">
        <f>'SDS 2009 Diabetes by NHS board'!$B$6</f>
        <v>5137</v>
      </c>
      <c r="C12" s="1290">
        <f>$B$12/$B$25</f>
        <v>2.2530306485851127E-2</v>
      </c>
      <c r="D12" s="1175">
        <f>'SDS 2009 Diabetes by NHS board'!$G$6</f>
        <v>596</v>
      </c>
      <c r="E12" s="242">
        <f>$D$12/$D$25</f>
        <v>2.1778053860488911E-2</v>
      </c>
      <c r="F12" s="299">
        <f>'SDS 2009 Diabetes by NHS board'!$H$6</f>
        <v>23.589987941681589</v>
      </c>
      <c r="G12" s="299">
        <f>'CSII assumptions&amp;unit costs'!$D$5</f>
        <v>0</v>
      </c>
      <c r="H12" s="1177">
        <f>'SDS 2009 Diabetes by NHS board'!$I$6</f>
        <v>572.41001205831833</v>
      </c>
      <c r="I12" s="1175">
        <f>'SDS 2009 Diabetes by NHS board'!$J$6</f>
        <v>4530</v>
      </c>
      <c r="J12" s="1290">
        <f>$I$12/$I$25</f>
        <v>2.2733659868315402E-2</v>
      </c>
      <c r="K12" s="1292">
        <f>$D$12+$I$12</f>
        <v>5126</v>
      </c>
      <c r="L12" s="1183">
        <f>VLOOKUP($A$12,'SDS 2009 Diabetes by NHS board'!$A$5:$F$19,4,0)</f>
        <v>13.518183891510676</v>
      </c>
      <c r="M12" s="302">
        <f>VLOOKUP($A$12,'SDS 2009 Diabetes by NHS board'!$A$5:$F$20,5,0)</f>
        <v>65.337888808968273</v>
      </c>
      <c r="N12" s="1177">
        <f>VLOOKUP($A$12,'SDS 2009 Diabetes by NHS board'!$A$5:$F$20,6,0)</f>
        <v>5137</v>
      </c>
      <c r="O12" s="1181">
        <v>1182.8652575957728</v>
      </c>
      <c r="P12" s="1182">
        <f>'Structured education unit costs'!$B$8</f>
        <v>190</v>
      </c>
      <c r="Q12" s="1177">
        <f>'Structured education unit costs'!$E$8</f>
        <v>480</v>
      </c>
      <c r="R12" s="1182">
        <f>'SDS 2009 Diabetes by NHS board'!$L$6</f>
        <v>30</v>
      </c>
      <c r="S12" s="299">
        <f>'SDS 2009 Diabetes by NHS board'!$M$6</f>
        <v>451</v>
      </c>
      <c r="T12" s="1177">
        <f>'SDS 2009 Diabetes by NHS board'!$N$6</f>
        <v>481</v>
      </c>
      <c r="U12" s="1182">
        <f>'SDS 2009 Diabetes by NHS board'!$O$6</f>
        <v>13</v>
      </c>
      <c r="V12" s="299">
        <f>'SDS 2009 Diabetes by NHS board'!$P$6</f>
        <v>295</v>
      </c>
      <c r="W12" s="1177">
        <f>'SDS 2009 Diabetes by NHS board'!$Q$6</f>
        <v>308</v>
      </c>
      <c r="X12" s="1181">
        <f>'SDS 2009 Diabetes by NHS board'!$R$6</f>
        <v>789</v>
      </c>
      <c r="Y12" s="1181">
        <f>'SDS 2009 Diabetes by NHS board'!$S$6</f>
        <v>7.8830162848020207</v>
      </c>
      <c r="Z12" s="1181">
        <f>'SDS 2009 Diabetes by NHS board'!$T$6</f>
        <v>796.88301628480201</v>
      </c>
      <c r="HS12" s="18"/>
      <c r="HT12" s="18"/>
      <c r="HU12" s="18"/>
      <c r="HV12" s="18"/>
      <c r="HW12" s="18"/>
      <c r="HX12" s="18"/>
      <c r="HY12" s="18"/>
      <c r="HZ12" s="18"/>
      <c r="IA12" s="18"/>
      <c r="IB12" s="18"/>
    </row>
    <row r="13" spans="1:236">
      <c r="A13" s="8" t="s">
        <v>664</v>
      </c>
      <c r="B13" s="1175">
        <f>'SDS 2009 Diabetes by NHS board'!$B$7</f>
        <v>7348</v>
      </c>
      <c r="C13" s="1290">
        <f>$B$13/$B$25</f>
        <v>3.2227504780617887E-2</v>
      </c>
      <c r="D13" s="1175">
        <f>'SDS 2009 Diabetes by NHS board'!$G$7</f>
        <v>871</v>
      </c>
      <c r="E13" s="242">
        <f>$D$13/$D$25</f>
        <v>3.1826652537727922E-2</v>
      </c>
      <c r="F13" s="299">
        <f>'SDS 2009 Diabetes by NHS board'!$H$7</f>
        <v>34.474630028866883</v>
      </c>
      <c r="G13" s="299">
        <f>'CSII assumptions&amp;unit costs'!$D$6</f>
        <v>1</v>
      </c>
      <c r="H13" s="1177">
        <f>'SDS 2009 Diabetes by NHS board'!$I$7</f>
        <v>836.52536997113305</v>
      </c>
      <c r="I13" s="1175">
        <f>'SDS 2009 Diabetes by NHS board'!$J$7</f>
        <v>6453</v>
      </c>
      <c r="J13" s="1290">
        <f>$I$13/$I$25</f>
        <v>3.2384173759434719E-2</v>
      </c>
      <c r="K13" s="1292">
        <f>$D$13+$I$13</f>
        <v>7324</v>
      </c>
      <c r="L13" s="1183">
        <f>VLOOKUP($A$13,'SDS 2009 Diabetes by NHS board'!$A$6:$F$20,4,0)</f>
        <v>19.336502868370733</v>
      </c>
      <c r="M13" s="302">
        <f>VLOOKUP($A$13,'SDS 2009 Diabetes by NHS board'!$A$6:$F$21,5,0)</f>
        <v>93.459763863791878</v>
      </c>
      <c r="N13" s="1177">
        <f>VLOOKUP($A$13,'SDS 2009 Diabetes by NHS board'!$A$6:$F$21,6,0)</f>
        <v>7348.0000000000009</v>
      </c>
      <c r="O13" s="1181">
        <v>1540.6896656843817</v>
      </c>
      <c r="P13" s="1182">
        <f>'Structured education unit costs'!$B$9</f>
        <v>264</v>
      </c>
      <c r="Q13" s="1177">
        <f>'Structured education unit costs'!$E$9</f>
        <v>714</v>
      </c>
      <c r="R13" s="1182">
        <f>'SDS 2009 Diabetes by NHS board'!$L$7</f>
        <v>35</v>
      </c>
      <c r="S13" s="299">
        <f>'SDS 2009 Diabetes by NHS board'!$M$7</f>
        <v>534</v>
      </c>
      <c r="T13" s="1177">
        <f>'SDS 2009 Diabetes by NHS board'!$N$7</f>
        <v>569</v>
      </c>
      <c r="U13" s="1182">
        <f>'SDS 2009 Diabetes by NHS board'!$O$7</f>
        <v>26</v>
      </c>
      <c r="V13" s="299">
        <f>'SDS 2009 Diabetes by NHS board'!$P$7</f>
        <v>347</v>
      </c>
      <c r="W13" s="1177">
        <f>'SDS 2009 Diabetes by NHS board'!$Q$7</f>
        <v>373</v>
      </c>
      <c r="X13" s="1181">
        <f>'SDS 2009 Diabetes by NHS board'!$R$7</f>
        <v>942</v>
      </c>
      <c r="Y13" s="1181">
        <f>'SDS 2009 Diabetes by NHS board'!$S$7</f>
        <v>11.275920510166488</v>
      </c>
      <c r="Z13" s="1181">
        <f>'SDS 2009 Diabetes by NHS board'!$T$7</f>
        <v>953.27592051016654</v>
      </c>
      <c r="HS13" s="18"/>
      <c r="HT13" s="18"/>
      <c r="HU13" s="18"/>
      <c r="HV13" s="18"/>
      <c r="HW13" s="18"/>
      <c r="HX13" s="18"/>
      <c r="HY13" s="18"/>
      <c r="HZ13" s="18"/>
      <c r="IA13" s="18"/>
      <c r="IB13" s="18"/>
    </row>
    <row r="14" spans="1:236">
      <c r="A14" s="8" t="s">
        <v>665</v>
      </c>
      <c r="B14" s="1175">
        <f>'SDS 2009 Diabetes by NHS board'!$B$8</f>
        <v>16759</v>
      </c>
      <c r="C14" s="1290">
        <f>$B$14/$B$25</f>
        <v>7.3503096436904614E-2</v>
      </c>
      <c r="D14" s="1175">
        <f>'SDS 2009 Diabetes by NHS board'!$G$8</f>
        <v>1896</v>
      </c>
      <c r="E14" s="242">
        <f>$D$14/$D$25</f>
        <v>6.9280520334709689E-2</v>
      </c>
      <c r="F14" s="299">
        <f>'SDS 2009 Diabetes by NHS board'!$H$8</f>
        <v>75.044659626557532</v>
      </c>
      <c r="G14" s="299">
        <f>'CSII assumptions&amp;unit costs'!$D$7</f>
        <v>1</v>
      </c>
      <c r="H14" s="1177">
        <f>'SDS 2009 Diabetes by NHS board'!$I$8</f>
        <v>1820.9553403734424</v>
      </c>
      <c r="I14" s="1175">
        <f>'SDS 2009 Diabetes by NHS board'!$J$8</f>
        <v>14718</v>
      </c>
      <c r="J14" s="1290">
        <f>$I$14/$I$25</f>
        <v>7.3861811466195595E-2</v>
      </c>
      <c r="K14" s="1292">
        <f>$D$14+$I$14</f>
        <v>16614</v>
      </c>
      <c r="L14" s="1183">
        <f>VLOOKUP($A$14,'SDS 2009 Diabetes by NHS board'!$A$7:$F$21,4,0)</f>
        <v>44.101857862142765</v>
      </c>
      <c r="M14" s="302">
        <f>VLOOKUP($A$14,'SDS 2009 Diabetes by NHS board'!$A$7:$F$22,5,0)</f>
        <v>213.15897966702337</v>
      </c>
      <c r="N14" s="1177">
        <f>VLOOKUP($A$14,'SDS 2009 Diabetes by NHS board'!$A$7:$F$22,6,0)</f>
        <v>16759</v>
      </c>
      <c r="O14" s="1181">
        <v>4227.4397927039936</v>
      </c>
      <c r="P14" s="1182">
        <f>'Structured education unit costs'!$B$10</f>
        <v>590</v>
      </c>
      <c r="Q14" s="1177">
        <f>'Structured education unit costs'!$E$10</f>
        <v>1456</v>
      </c>
      <c r="R14" s="1182">
        <f>'SDS 2009 Diabetes by NHS board'!$L$8</f>
        <v>64</v>
      </c>
      <c r="S14" s="299">
        <f>'SDS 2009 Diabetes by NHS board'!$M$8</f>
        <v>1468</v>
      </c>
      <c r="T14" s="1177">
        <f>'SDS 2009 Diabetes by NHS board'!$N$8</f>
        <v>1532</v>
      </c>
      <c r="U14" s="1182">
        <f>'SDS 2009 Diabetes by NHS board'!O8</f>
        <v>35</v>
      </c>
      <c r="V14" s="299">
        <f>'SDS 2009 Diabetes by NHS board'!$P$8</f>
        <v>865</v>
      </c>
      <c r="W14" s="1177">
        <f>'SDS 2009 Diabetes by NHS board'!$Q$8</f>
        <v>900</v>
      </c>
      <c r="X14" s="1181">
        <f>'SDS 2009 Diabetes by NHS board'!$R$8</f>
        <v>2432</v>
      </c>
      <c r="Y14" s="1181">
        <f>'SDS 2009 Diabetes by NHS board'!$S$8</f>
        <v>25.717630896826371</v>
      </c>
      <c r="Z14" s="1181">
        <f>'SDS 2009 Diabetes by NHS board'!$T$8</f>
        <v>2457.7176308968264</v>
      </c>
      <c r="HS14" s="18"/>
      <c r="HT14" s="18"/>
      <c r="HU14" s="18"/>
      <c r="HV14" s="18"/>
      <c r="HW14" s="18"/>
      <c r="HX14" s="18"/>
      <c r="HY14" s="18"/>
      <c r="HZ14" s="18"/>
      <c r="IA14" s="18"/>
      <c r="IB14" s="18"/>
    </row>
    <row r="15" spans="1:236">
      <c r="A15" s="8" t="s">
        <v>666</v>
      </c>
      <c r="B15" s="1175">
        <f>'SDS 2009 Diabetes by NHS board'!$B$9</f>
        <v>13105</v>
      </c>
      <c r="C15" s="1290">
        <f>$B$15/$B$25</f>
        <v>5.7477061805933226E-2</v>
      </c>
      <c r="D15" s="1175">
        <f>'SDS 2009 Diabetes by NHS board'!$G$9</f>
        <v>1526</v>
      </c>
      <c r="E15" s="242">
        <f>$D$15/$D$25</f>
        <v>5.5760587568969927E-2</v>
      </c>
      <c r="F15" s="299">
        <f>'SDS 2009 Diabetes by NHS board'!$H$9</f>
        <v>60.399868454708226</v>
      </c>
      <c r="G15" s="299">
        <f>'CSII assumptions&amp;unit costs'!$D$8</f>
        <v>1</v>
      </c>
      <c r="H15" s="1177">
        <f>'SDS 2009 Diabetes by NHS board'!$I$9</f>
        <v>1465.6001315452918</v>
      </c>
      <c r="I15" s="1175">
        <f>'SDS 2009 Diabetes by NHS board'!$J$9</f>
        <v>11543</v>
      </c>
      <c r="J15" s="1290">
        <f>$I$15/$I$25</f>
        <v>5.7928175686526417E-2</v>
      </c>
      <c r="K15" s="1292">
        <f>$D$15+$I$15</f>
        <v>13069</v>
      </c>
      <c r="L15" s="1183">
        <f>VLOOKUP($A$15,'SDS 2009 Diabetes by NHS board'!$A$8:$F$22,4,0)</f>
        <v>34.486237083559935</v>
      </c>
      <c r="M15" s="302">
        <f>VLOOKUP($A$15,'SDS 2009 Diabetes by NHS board'!$A$8:$F$23,5,0)</f>
        <v>166.68347923720634</v>
      </c>
      <c r="N15" s="1177">
        <f>VLOOKUP($A$15,'SDS 2009 Diabetes by NHS board'!$A$8:$F$23,6,0)</f>
        <v>13105</v>
      </c>
      <c r="O15" s="1181">
        <v>3419.778985875419</v>
      </c>
      <c r="P15" s="1182">
        <f>'Structured education unit costs'!$B$11</f>
        <v>559</v>
      </c>
      <c r="Q15" s="1177">
        <f>'Structured education unit costs'!$E$11</f>
        <v>1515</v>
      </c>
      <c r="R15" s="1182">
        <f>'SDS 2009 Diabetes by NHS board'!$L$9</f>
        <v>56</v>
      </c>
      <c r="S15" s="299">
        <f>'SDS 2009 Diabetes by NHS board'!$M$9</f>
        <v>1235</v>
      </c>
      <c r="T15" s="1177">
        <f>'SDS 2009 Diabetes by NHS board'!$N$9</f>
        <v>1291</v>
      </c>
      <c r="U15" s="1182">
        <f>'SDS 2009 Diabetes by NHS board'!$O$9</f>
        <v>34</v>
      </c>
      <c r="V15" s="299">
        <f>'SDS 2009 Diabetes by NHS board'!$P$9</f>
        <v>734</v>
      </c>
      <c r="W15" s="1177">
        <f>'SDS 2009 Diabetes by NHS board'!$Q$9</f>
        <v>768</v>
      </c>
      <c r="X15" s="1181">
        <f>'SDS 2009 Diabetes by NHS board'!$R$9</f>
        <v>2059</v>
      </c>
      <c r="Y15" s="1181">
        <f>'SDS 2009 Diabetes by NHS board'!$S$9</f>
        <v>20.110361769968947</v>
      </c>
      <c r="Z15" s="1181">
        <f>'SDS 2009 Diabetes by NHS board'!$T$9</f>
        <v>2079.1103617699691</v>
      </c>
      <c r="HS15" s="18"/>
      <c r="HT15" s="18"/>
      <c r="HU15" s="18"/>
      <c r="HV15" s="18"/>
      <c r="HW15" s="18"/>
      <c r="HX15" s="18"/>
      <c r="HY15" s="18"/>
      <c r="HZ15" s="18"/>
      <c r="IA15" s="18"/>
      <c r="IB15" s="18"/>
    </row>
    <row r="16" spans="1:236">
      <c r="A16" s="8" t="s">
        <v>667</v>
      </c>
      <c r="B16" s="1175">
        <f>'SDS 2009 Diabetes by NHS board'!$B$10</f>
        <v>22481</v>
      </c>
      <c r="C16" s="1290">
        <f>$B$16/$B$25</f>
        <v>9.8599147383379243E-2</v>
      </c>
      <c r="D16" s="1175">
        <f>'SDS 2009 Diabetes by NHS board'!$G$10</f>
        <v>2976</v>
      </c>
      <c r="E16" s="242">
        <f>$D$16/$D$25</f>
        <v>0.10874410786713926</v>
      </c>
      <c r="F16" s="299">
        <f>'SDS 2009 Diabetes by NHS board'!$H$10</f>
        <v>117.79161764168525</v>
      </c>
      <c r="G16" s="299">
        <f>'CSII assumptions&amp;unit costs'!$D$9</f>
        <v>2</v>
      </c>
      <c r="H16" s="1177">
        <f>'SDS 2009 Diabetes by NHS board'!$I$10</f>
        <v>2858.2083823583148</v>
      </c>
      <c r="I16" s="1175">
        <f>'SDS 2009 Diabetes by NHS board'!$J$10</f>
        <v>19361</v>
      </c>
      <c r="J16" s="1290">
        <f>$I$16/$I$25</f>
        <v>9.7162558214228367E-2</v>
      </c>
      <c r="K16" s="1292">
        <f>$D$16+$I$16</f>
        <v>22337</v>
      </c>
      <c r="L16" s="1183">
        <f>VLOOKUP($A$16,'SDS 2009 Diabetes by NHS board'!$A$9:$F$23,4,0)</f>
        <v>59.159488430027544</v>
      </c>
      <c r="M16" s="302">
        <f>VLOOKUP($A$16,'SDS 2009 Diabetes by NHS board'!$A$9:$F$24,5,0)</f>
        <v>285.93752741179981</v>
      </c>
      <c r="N16" s="1177">
        <f>VLOOKUP($A$16,'SDS 2009 Diabetes by NHS board'!$A$9:$F$24,6,0)</f>
        <v>22481</v>
      </c>
      <c r="O16" s="1181">
        <v>6576.8126206686311</v>
      </c>
      <c r="P16" s="1182">
        <f>'Structured education unit costs'!$B$12</f>
        <v>1179</v>
      </c>
      <c r="Q16" s="1177">
        <f>'Structured education unit costs'!$E$12</f>
        <v>2583</v>
      </c>
      <c r="R16" s="1182">
        <f>'SDS 2009 Diabetes by NHS board'!$L$10</f>
        <v>115</v>
      </c>
      <c r="S16" s="299">
        <f>'SDS 2009 Diabetes by NHS board'!$M$10</f>
        <v>1927</v>
      </c>
      <c r="T16" s="1177">
        <f>'SDS 2009 Diabetes by NHS board'!$N$10</f>
        <v>2042</v>
      </c>
      <c r="U16" s="1182">
        <f>'SDS 2009 Diabetes by NHS board'!$O$10</f>
        <v>82</v>
      </c>
      <c r="V16" s="299">
        <f>'SDS 2009 Diabetes by NHS board'!$P$10</f>
        <v>1345</v>
      </c>
      <c r="W16" s="1177">
        <f>'SDS 2009 Diabetes by NHS board'!$Q$10</f>
        <v>1427</v>
      </c>
      <c r="X16" s="1181">
        <f>'SDS 2009 Diabetes by NHS board'!$R$10</f>
        <v>3469</v>
      </c>
      <c r="Y16" s="1181">
        <f>'SDS 2009 Diabetes by NHS board'!$S$10</f>
        <v>34.49836268223364</v>
      </c>
      <c r="Z16" s="1181">
        <f>'SDS 2009 Diabetes by NHS board'!$T$10</f>
        <v>3503.4983626822336</v>
      </c>
      <c r="HS16" s="18"/>
      <c r="HT16" s="18"/>
      <c r="HU16" s="18"/>
      <c r="HV16" s="18"/>
      <c r="HW16" s="18"/>
      <c r="HX16" s="18"/>
      <c r="HY16" s="18"/>
      <c r="HZ16" s="18"/>
      <c r="IA16" s="18"/>
      <c r="IB16" s="18"/>
    </row>
    <row r="17" spans="1:236">
      <c r="A17" s="8" t="s">
        <v>668</v>
      </c>
      <c r="B17" s="1175">
        <f>'SDS 2009 Diabetes by NHS board'!$B$11</f>
        <v>52604</v>
      </c>
      <c r="C17" s="1290">
        <f>$B$17/$B$25</f>
        <v>0.23071525060963843</v>
      </c>
      <c r="D17" s="1175">
        <f>'SDS 2009 Diabetes by NHS board'!$G$11</f>
        <v>5923</v>
      </c>
      <c r="E17" s="242">
        <f>$D$17/$D$25</f>
        <v>0.21642854532831513</v>
      </c>
      <c r="F17" s="299">
        <f>'SDS 2009 Diabetes by NHS board'!$H$11</f>
        <v>234.43540029963094</v>
      </c>
      <c r="G17" s="299">
        <f>'CSII assumptions&amp;unit costs'!$D$10</f>
        <v>4</v>
      </c>
      <c r="H17" s="1177">
        <f>'SDS 2009 Diabetes by NHS board'!$I$11</f>
        <v>5688.5645997003685</v>
      </c>
      <c r="I17" s="1175">
        <f>'SDS 2009 Diabetes by NHS board'!$J$11</f>
        <v>46345</v>
      </c>
      <c r="J17" s="1290">
        <f>$I$17/$I$25</f>
        <v>0.23258089770354906</v>
      </c>
      <c r="K17" s="1292">
        <f>$D$17+$I$17</f>
        <v>52268</v>
      </c>
      <c r="L17" s="1183">
        <f>VLOOKUP($A$17,'SDS 2009 Diabetes by NHS board'!$A$10:$F$24,4,0)</f>
        <v>138.42915036578307</v>
      </c>
      <c r="M17" s="302">
        <f>VLOOKUP($A$17,'SDS 2009 Diabetes by NHS board'!$A$10:$F$25,5,0)</f>
        <v>669.07422676795147</v>
      </c>
      <c r="N17" s="1177">
        <f>VLOOKUP($A$17,'SDS 2009 Diabetes by NHS board'!$A$10:$F$25,6,0)</f>
        <v>52604</v>
      </c>
      <c r="O17" s="1181">
        <v>14328.311655319581</v>
      </c>
      <c r="P17" s="1182">
        <f>'Structured education unit costs'!$B$13</f>
        <v>2011</v>
      </c>
      <c r="Q17" s="1177">
        <f>'Structured education unit costs'!$E$13</f>
        <v>6297</v>
      </c>
      <c r="R17" s="1182">
        <f>'SDS 2009 Diabetes by NHS board'!$L$11</f>
        <v>196</v>
      </c>
      <c r="S17" s="299">
        <f>'SDS 2009 Diabetes by NHS board'!$M$11</f>
        <v>4808</v>
      </c>
      <c r="T17" s="1177">
        <f>'SDS 2009 Diabetes by NHS board'!$N$11</f>
        <v>5004</v>
      </c>
      <c r="U17" s="1182">
        <f>'SDS 2009 Diabetes by NHS board'!$O$11</f>
        <v>149</v>
      </c>
      <c r="V17" s="299">
        <f>'SDS 2009 Diabetes by NHS board'!$P$11</f>
        <v>3482</v>
      </c>
      <c r="W17" s="1177">
        <f>'SDS 2009 Diabetes by NHS board'!$Q$11</f>
        <v>3631</v>
      </c>
      <c r="X17" s="1181">
        <f>'SDS 2009 Diabetes by NHS board'!$R$11</f>
        <v>8635</v>
      </c>
      <c r="Y17" s="1181">
        <f>'SDS 2009 Diabetes by NHS board'!$S$11</f>
        <v>80.723805459553333</v>
      </c>
      <c r="Z17" s="1181">
        <f>'SDS 2009 Diabetes by NHS board'!$T$11</f>
        <v>8715.7238054595528</v>
      </c>
      <c r="HS17" s="18"/>
      <c r="HT17" s="18"/>
      <c r="HU17" s="18"/>
      <c r="HV17" s="18"/>
      <c r="HW17" s="18"/>
      <c r="HX17" s="18"/>
      <c r="HY17" s="18"/>
      <c r="HZ17" s="18"/>
      <c r="IA17" s="18"/>
      <c r="IB17" s="18"/>
    </row>
    <row r="18" spans="1:236">
      <c r="A18" s="8" t="s">
        <v>669</v>
      </c>
      <c r="B18" s="1175">
        <f>'SDS 2009 Diabetes by NHS board'!$B$12</f>
        <v>13246</v>
      </c>
      <c r="C18" s="1290">
        <f>$B$18/$B$25</f>
        <v>5.8095472009262995E-2</v>
      </c>
      <c r="D18" s="1175">
        <f>'SDS 2009 Diabetes by NHS board'!$G$12</f>
        <v>1688</v>
      </c>
      <c r="E18" s="242">
        <f>$D$18/$D$25</f>
        <v>6.1680125698834361E-2</v>
      </c>
      <c r="F18" s="299">
        <f>'SDS 2009 Diabetes by NHS board'!$H$12</f>
        <v>66.811912156977385</v>
      </c>
      <c r="G18" s="299">
        <f>'CSII assumptions&amp;unit costs'!$D$11</f>
        <v>1</v>
      </c>
      <c r="H18" s="1177">
        <f>'SDS 2009 Diabetes by NHS board'!$I$12</f>
        <v>1621.1880878430225</v>
      </c>
      <c r="I18" s="1175">
        <f>'SDS 2009 Diabetes by NHS board'!$J$12</f>
        <v>11470</v>
      </c>
      <c r="J18" s="1290">
        <f>$I$18/$I$25</f>
        <v>5.7561827525293076E-2</v>
      </c>
      <c r="K18" s="1292">
        <f>$D$18+$I$18</f>
        <v>13158</v>
      </c>
      <c r="L18" s="1183">
        <f>VLOOKUP($A$18,'SDS 2009 Diabetes by NHS board'!$A$11:$F$25,4,0)</f>
        <v>34.857283205557799</v>
      </c>
      <c r="M18" s="302">
        <f>VLOOKUP($A$18,'SDS 2009 Diabetes by NHS board'!$A$11:$F$26,5,0)</f>
        <v>168.4768688268627</v>
      </c>
      <c r="N18" s="1177">
        <f>VLOOKUP($A$18,'SDS 2009 Diabetes by NHS board'!$A$11:$F$26,6,0)</f>
        <v>13246</v>
      </c>
      <c r="O18" s="1181">
        <v>3260.2915354130678</v>
      </c>
      <c r="P18" s="1182">
        <f>'Structured education unit costs'!$B$14</f>
        <v>528</v>
      </c>
      <c r="Q18" s="1177">
        <f>'Structured education unit costs'!$E$14</f>
        <v>1427</v>
      </c>
      <c r="R18" s="1182">
        <f>'SDS 2009 Diabetes by NHS board'!$L$12</f>
        <v>62</v>
      </c>
      <c r="S18" s="299">
        <f>'SDS 2009 Diabetes by NHS board'!$M$12</f>
        <v>1136</v>
      </c>
      <c r="T18" s="1177">
        <f>'SDS 2009 Diabetes by NHS board'!$N$12</f>
        <v>1198</v>
      </c>
      <c r="U18" s="1182">
        <f>'SDS 2009 Diabetes by NHS board'!$O$12</f>
        <v>45</v>
      </c>
      <c r="V18" s="299">
        <f>'SDS 2009 Diabetes by NHS board'!$P$12</f>
        <v>726</v>
      </c>
      <c r="W18" s="1177">
        <f>'SDS 2009 Diabetes by NHS board'!$Q$12</f>
        <v>771</v>
      </c>
      <c r="X18" s="1181">
        <f>'SDS 2009 Diabetes by NHS board'!$R$12</f>
        <v>1969</v>
      </c>
      <c r="Y18" s="1181">
        <f>'SDS 2009 Diabetes by NHS board'!$S$12</f>
        <v>20.326734223960983</v>
      </c>
      <c r="Z18" s="1181">
        <f>'SDS 2009 Diabetes by NHS board'!$T$12</f>
        <v>1989.326734223961</v>
      </c>
      <c r="HS18" s="18"/>
      <c r="HT18" s="18"/>
      <c r="HU18" s="18"/>
      <c r="HV18" s="18"/>
      <c r="HW18" s="18"/>
      <c r="HX18" s="18"/>
      <c r="HY18" s="18"/>
      <c r="HZ18" s="18"/>
      <c r="IA18" s="18"/>
      <c r="IB18" s="18"/>
    </row>
    <row r="19" spans="1:236">
      <c r="A19" s="8" t="s">
        <v>670</v>
      </c>
      <c r="B19" s="1175">
        <f>'SDS 2009 Diabetes by NHS board'!$B$13</f>
        <v>26350</v>
      </c>
      <c r="C19" s="1290">
        <f>$B$19/$B$25</f>
        <v>0.11556814792722934</v>
      </c>
      <c r="D19" s="1175">
        <f>'SDS 2009 Diabetes by NHS board'!$G$13</f>
        <v>3454</v>
      </c>
      <c r="E19" s="242">
        <f>$D$19/$D$25</f>
        <v>0.12621039938612197</v>
      </c>
      <c r="F19" s="299">
        <f>'SDS 2009 Diabetes by NHS board'!$H$13</f>
        <v>136.71110461504733</v>
      </c>
      <c r="G19" s="299">
        <f>'CSII assumptions&amp;unit costs'!$D$12</f>
        <v>3</v>
      </c>
      <c r="H19" s="1177">
        <f>'SDS 2009 Diabetes by NHS board'!$I$13</f>
        <v>3317.2888953849524</v>
      </c>
      <c r="I19" s="1175">
        <f>'SDS 2009 Diabetes by NHS board'!$J$13</f>
        <v>22794</v>
      </c>
      <c r="J19" s="1290">
        <f>$I$19/$I$25</f>
        <v>0.11439095872811948</v>
      </c>
      <c r="K19" s="1292">
        <f>$D$19+$I$19</f>
        <v>26248</v>
      </c>
      <c r="L19" s="1183">
        <f>VLOOKUP($A$19,'SDS 2009 Diabetes by NHS board'!$A$12:$F$26,4,0)</f>
        <v>69.340888756337606</v>
      </c>
      <c r="M19" s="302">
        <f>VLOOKUP($A$19,'SDS 2009 Diabetes by NHS board'!$A$12:$F$27,5,0)</f>
        <v>335.1476289889651</v>
      </c>
      <c r="N19" s="1177">
        <f>VLOOKUP($A$19,'SDS 2009 Diabetes by NHS board'!$A$12:$F$27,6,0)</f>
        <v>26350</v>
      </c>
      <c r="O19" s="1181">
        <v>6721.9870948074386</v>
      </c>
      <c r="P19" s="1182">
        <f>'Structured education unit costs'!$B$15</f>
        <v>1123</v>
      </c>
      <c r="Q19" s="1177">
        <f>'Structured education unit costs'!$E$15</f>
        <v>2805</v>
      </c>
      <c r="R19" s="1182">
        <f>'SDS 2009 Diabetes by NHS board'!$L$13</f>
        <v>171</v>
      </c>
      <c r="S19" s="299">
        <f>'SDS 2009 Diabetes by NHS board'!$M$13</f>
        <v>2371</v>
      </c>
      <c r="T19" s="1177">
        <f>'SDS 2009 Diabetes by NHS board'!$N$13</f>
        <v>2542</v>
      </c>
      <c r="U19" s="1182">
        <f>'SDS 2009 Diabetes by NHS board'!$O$13</f>
        <v>137</v>
      </c>
      <c r="V19" s="299">
        <f>'SDS 2009 Diabetes by NHS board'!$P$13</f>
        <v>1609</v>
      </c>
      <c r="W19" s="1177">
        <f>'SDS 2009 Diabetes by NHS board'!$Q$13</f>
        <v>1746</v>
      </c>
      <c r="X19" s="1181">
        <f>'SDS 2009 Diabetes by NHS board'!$R$13</f>
        <v>4288</v>
      </c>
      <c r="Y19" s="1181">
        <f>'SDS 2009 Diabetes by NHS board'!$S$13</f>
        <v>40.435561437518643</v>
      </c>
      <c r="Z19" s="1181">
        <f>'SDS 2009 Diabetes by NHS board'!$T$13</f>
        <v>4328.435561437519</v>
      </c>
      <c r="HS19" s="18"/>
      <c r="HT19" s="18"/>
      <c r="HU19" s="18"/>
      <c r="HV19" s="18"/>
      <c r="HW19" s="18"/>
      <c r="HX19" s="18"/>
      <c r="HY19" s="18"/>
      <c r="HZ19" s="18"/>
      <c r="IA19" s="18"/>
      <c r="IB19" s="18"/>
    </row>
    <row r="20" spans="1:236">
      <c r="A20" s="8" t="s">
        <v>671</v>
      </c>
      <c r="B20" s="1175">
        <f>'SDS 2009 Diabetes by NHS board'!$B$14</f>
        <v>31824</v>
      </c>
      <c r="C20" s="1290">
        <f>$B$20/$B$25</f>
        <v>0.13957649865791827</v>
      </c>
      <c r="D20" s="1175">
        <f>'SDS 2009 Diabetes by NHS board'!$G$14</f>
        <v>4019</v>
      </c>
      <c r="E20" s="242">
        <f>$D$20/$D$25</f>
        <v>0.14685570212299484</v>
      </c>
      <c r="F20" s="299">
        <f>'SDS 2009 Diabetes by NHS board'!$H$14</f>
        <v>159.07409653962802</v>
      </c>
      <c r="G20" s="299">
        <f>'CSII assumptions&amp;unit costs'!$D$13</f>
        <v>3</v>
      </c>
      <c r="H20" s="1177">
        <f>'SDS 2009 Diabetes by NHS board'!$I$14</f>
        <v>3859.925903460372</v>
      </c>
      <c r="I20" s="1175">
        <f>'SDS 2009 Diabetes by NHS board'!$J$14</f>
        <v>27506</v>
      </c>
      <c r="J20" s="1290">
        <f>$I$20/$I$25</f>
        <v>0.13803797976553717</v>
      </c>
      <c r="K20" s="1292">
        <f>$D$20+$I$20</f>
        <v>31525</v>
      </c>
      <c r="L20" s="1183">
        <f>VLOOKUP($A$20,'SDS 2009 Diabetes by NHS board'!$A$13:$F$27,4,0)</f>
        <v>83.745899194750962</v>
      </c>
      <c r="M20" s="302">
        <f>VLOOKUP($A$20,'SDS 2009 Diabetes by NHS board'!$A$13:$F$28,5,0)</f>
        <v>404.77184610796297</v>
      </c>
      <c r="N20" s="1177">
        <f>VLOOKUP($A$20,'SDS 2009 Diabetes by NHS board'!$A$13:$F$28,6,0)</f>
        <v>31823.999999999996</v>
      </c>
      <c r="O20" s="1181">
        <v>9936.2726348948272</v>
      </c>
      <c r="P20" s="1182">
        <f>'Structured education unit costs'!$B$16</f>
        <v>1130</v>
      </c>
      <c r="Q20" s="1177">
        <f>'Structured education unit costs'!$E$16</f>
        <v>2817</v>
      </c>
      <c r="R20" s="1182">
        <f>'SDS 2009 Diabetes by NHS board'!$L$14</f>
        <v>108</v>
      </c>
      <c r="S20" s="299">
        <f>'SDS 2009 Diabetes by NHS board'!$M$14</f>
        <v>2791</v>
      </c>
      <c r="T20" s="1177">
        <f>'SDS 2009 Diabetes by NHS board'!$N$14</f>
        <v>2899</v>
      </c>
      <c r="U20" s="1182">
        <f>'SDS 2009 Diabetes by NHS board'!$O$14</f>
        <v>92</v>
      </c>
      <c r="V20" s="299">
        <f>'SDS 2009 Diabetes by NHS board'!$P$14</f>
        <v>1911</v>
      </c>
      <c r="W20" s="1177">
        <f>'SDS 2009 Diabetes by NHS board'!$Q$14</f>
        <v>2003</v>
      </c>
      <c r="X20" s="1181">
        <f>'SDS 2009 Diabetes by NHS board'!$R$14</f>
        <v>4902</v>
      </c>
      <c r="Y20" s="1181">
        <f>'SDS 2009 Diabetes by NHS board'!$S$14</f>
        <v>48.835723232925737</v>
      </c>
      <c r="Z20" s="1181">
        <f>'SDS 2009 Diabetes by NHS board'!$T$14</f>
        <v>4950.8357232329254</v>
      </c>
      <c r="HS20" s="18"/>
      <c r="HT20" s="18"/>
      <c r="HU20" s="18"/>
      <c r="HV20" s="18"/>
      <c r="HW20" s="18"/>
      <c r="HX20" s="18"/>
      <c r="HY20" s="18"/>
      <c r="HZ20" s="18"/>
      <c r="IA20" s="18"/>
      <c r="IB20" s="18"/>
    </row>
    <row r="21" spans="1:236">
      <c r="A21" s="8" t="s">
        <v>672</v>
      </c>
      <c r="B21" s="1175">
        <f>'SDS 2009 Diabetes by NHS board'!$B$15</f>
        <v>894</v>
      </c>
      <c r="C21" s="1291">
        <f>$B$21/$B$25</f>
        <v>3.9209838423887302E-3</v>
      </c>
      <c r="D21" s="1175">
        <f>'SDS 2009 Diabetes by NHS board'!$G$15</f>
        <v>118</v>
      </c>
      <c r="E21" s="242">
        <f>$D$21/$D$25</f>
        <v>4.3117623415061933E-3</v>
      </c>
      <c r="F21" s="299">
        <f>'SDS 2009 Diabetes by NHS board'!$H$15</f>
        <v>4.6705009683195087</v>
      </c>
      <c r="G21" s="299">
        <f>'CSII assumptions&amp;unit costs'!$D$14</f>
        <v>0</v>
      </c>
      <c r="H21" s="1177">
        <f>'SDS 2009 Diabetes by NHS board'!$I$15</f>
        <v>113.32949903168048</v>
      </c>
      <c r="I21" s="1175">
        <f>'SDS 2009 Diabetes by NHS board'!$J$15</f>
        <v>776</v>
      </c>
      <c r="J21" s="1290">
        <f>$I$21/$I$25</f>
        <v>3.8943311385900114E-3</v>
      </c>
      <c r="K21" s="1292">
        <f>$D$21+$I$21</f>
        <v>894</v>
      </c>
      <c r="L21" s="1183">
        <f>VLOOKUP($A$21,'SDS 2009 Diabetes by NHS board'!$A$14:$F$28,4,0)</f>
        <v>2.352590305433238</v>
      </c>
      <c r="M21" s="302">
        <f>VLOOKUP($A$21,'SDS 2009 Diabetes by NHS board'!$A$14:$F$29,5,0)</f>
        <v>11.370853142927318</v>
      </c>
      <c r="N21" s="1177">
        <f>VLOOKUP($A$21,'SDS 2009 Diabetes by NHS board'!$A$14:$F$29,6,0)</f>
        <v>894</v>
      </c>
      <c r="O21" s="1181">
        <v>203.44873488466621</v>
      </c>
      <c r="P21" s="1182">
        <f>'Structured education unit costs'!$B$17</f>
        <v>30</v>
      </c>
      <c r="Q21" s="1177">
        <f>'Structured education unit costs'!$E$17</f>
        <v>94</v>
      </c>
      <c r="R21" s="1182">
        <f>'SDS 2009 Diabetes by NHS board'!$L$15</f>
        <v>7</v>
      </c>
      <c r="S21" s="299">
        <f>'SDS 2009 Diabetes by NHS board'!$M$15</f>
        <v>70</v>
      </c>
      <c r="T21" s="1177">
        <f>'SDS 2009 Diabetes by NHS board'!$N$15</f>
        <v>77</v>
      </c>
      <c r="U21" s="1182">
        <f>'SDS 2009 Diabetes by NHS board'!$O$15</f>
        <v>3</v>
      </c>
      <c r="V21" s="299">
        <f>'SDS 2009 Diabetes by NHS board'!$P$15</f>
        <v>49</v>
      </c>
      <c r="W21" s="1177">
        <f>'SDS 2009 Diabetes by NHS board'!$Q$15</f>
        <v>52</v>
      </c>
      <c r="X21" s="1181">
        <f>'SDS 2009 Diabetes by NHS board'!$R$15</f>
        <v>129</v>
      </c>
      <c r="Y21" s="1181">
        <f>'SDS 2009 Diabetes by NHS board'!$S$15</f>
        <v>1.3718934316941809</v>
      </c>
      <c r="Z21" s="1181">
        <f>'SDS 2009 Diabetes by NHS board'!$T$15</f>
        <v>130.37189343169419</v>
      </c>
      <c r="HS21" s="18"/>
      <c r="HT21" s="18"/>
      <c r="HU21" s="18"/>
      <c r="HV21" s="18"/>
      <c r="HW21" s="18"/>
      <c r="HX21" s="18"/>
      <c r="HY21" s="18"/>
      <c r="HZ21" s="18"/>
      <c r="IA21" s="18"/>
      <c r="IB21" s="18"/>
    </row>
    <row r="22" spans="1:236">
      <c r="A22" s="8" t="s">
        <v>673</v>
      </c>
      <c r="B22" s="1175">
        <f>'SDS 2009 Diabetes by NHS board'!$B$16</f>
        <v>912</v>
      </c>
      <c r="C22" s="1291">
        <f>$B$22/$B$25</f>
        <v>3.99992982579253E-3</v>
      </c>
      <c r="D22" s="1175">
        <f>'SDS 2009 Diabetes by NHS board'!$G$16</f>
        <v>114</v>
      </c>
      <c r="E22" s="242">
        <f>$D$22/$D$25</f>
        <v>4.1656009062008992E-3</v>
      </c>
      <c r="F22" s="299">
        <f>'SDS 2009 Diabetes by NHS board'!$H$16</f>
        <v>4.5121789015968137</v>
      </c>
      <c r="G22" s="299">
        <f>'CSII assumptions&amp;unit costs'!$D$15</f>
        <v>0</v>
      </c>
      <c r="H22" s="1177">
        <f>'SDS 2009 Diabetes by NHS board'!$I$16</f>
        <v>109.48782109840317</v>
      </c>
      <c r="I22" s="1175">
        <f>'SDS 2009 Diabetes by NHS board'!$J$16</f>
        <v>792</v>
      </c>
      <c r="J22" s="1290">
        <f>$I$22/$I$25</f>
        <v>3.9746266259836193E-3</v>
      </c>
      <c r="K22" s="1292">
        <f>$D$22+$I$22</f>
        <v>906</v>
      </c>
      <c r="L22" s="1183">
        <f>VLOOKUP($A$22,'SDS 2009 Diabetes by NHS board'!$A$15:$F$29,4,0)</f>
        <v>2.3999578954755179</v>
      </c>
      <c r="M22" s="302">
        <f>VLOOKUP($A$22,'SDS 2009 Diabetes by NHS board'!$A$15:$F$30,5,0)</f>
        <v>11.599796494798337</v>
      </c>
      <c r="N22" s="1177">
        <f>VLOOKUP($A$22,'SDS 2009 Diabetes by NHS board'!$A$15:$F$30,6,0)</f>
        <v>912</v>
      </c>
      <c r="O22" s="1181">
        <v>279.10303830911494</v>
      </c>
      <c r="P22" s="1182">
        <f>'Structured education unit costs'!$B$18</f>
        <v>30</v>
      </c>
      <c r="Q22" s="1177">
        <f>'Structured education unit costs'!$E$18</f>
        <v>92</v>
      </c>
      <c r="R22" s="1182">
        <f>'SDS 2009 Diabetes by NHS board'!$L$16</f>
        <v>2</v>
      </c>
      <c r="S22" s="299">
        <f>'SDS 2009 Diabetes by NHS board'!$M$16</f>
        <v>52</v>
      </c>
      <c r="T22" s="1177">
        <f>'SDS 2009 Diabetes by NHS board'!$N$16</f>
        <v>54</v>
      </c>
      <c r="U22" s="1182">
        <f>'SDS 2009 Diabetes by NHS board'!$O$16</f>
        <v>3</v>
      </c>
      <c r="V22" s="299">
        <f>'SDS 2009 Diabetes by NHS board'!$P$16</f>
        <v>30</v>
      </c>
      <c r="W22" s="1177">
        <f>'SDS 2009 Diabetes by NHS board'!$Q$16</f>
        <v>33</v>
      </c>
      <c r="X22" s="1181">
        <f>'SDS 2009 Diabetes by NHS board'!$R$16</f>
        <v>87</v>
      </c>
      <c r="Y22" s="1181">
        <f>'SDS 2009 Diabetes by NHS board'!$S$16</f>
        <v>1.3995154470974194</v>
      </c>
      <c r="Z22" s="1181">
        <f>'SDS 2009 Diabetes by NHS board'!$T$16</f>
        <v>88.399515447097414</v>
      </c>
      <c r="HS22" s="18"/>
      <c r="HT22" s="18"/>
      <c r="HU22" s="18"/>
      <c r="HV22" s="18"/>
      <c r="HW22" s="18"/>
      <c r="HX22" s="18"/>
      <c r="HY22" s="18"/>
      <c r="HZ22" s="18"/>
      <c r="IA22" s="18"/>
      <c r="IB22" s="18"/>
    </row>
    <row r="23" spans="1:236" ht="12.75" customHeight="1">
      <c r="A23" s="8" t="s">
        <v>674</v>
      </c>
      <c r="B23" s="1175">
        <f>'SDS 2009 Diabetes by NHS board'!$B$17</f>
        <v>18157</v>
      </c>
      <c r="C23" s="1290">
        <f>$B$23/$B$25</f>
        <v>7.9634567814599738E-2</v>
      </c>
      <c r="D23" s="1175">
        <f>'SDS 2009 Diabetes by NHS board'!$G$17</f>
        <v>1771</v>
      </c>
      <c r="E23" s="242">
        <f>$D$23/$D$25</f>
        <v>6.471297548141923E-2</v>
      </c>
      <c r="F23" s="299">
        <f>'SDS 2009 Diabetes by NHS board'!H$17</f>
        <v>70.09709504147331</v>
      </c>
      <c r="G23" s="299">
        <f>'CSII assumptions&amp;unit costs'!$D$16</f>
        <v>1</v>
      </c>
      <c r="H23" s="1177">
        <f>'SDS 2009 Diabetes by NHS board'!$I$17</f>
        <v>1700.9029049585265</v>
      </c>
      <c r="I23" s="1175">
        <f>'SDS 2009 Diabetes by NHS board'!$J$17</f>
        <v>16283</v>
      </c>
      <c r="J23" s="1290">
        <f>$I$23/$I$25</f>
        <v>8.1715713826882933E-2</v>
      </c>
      <c r="K23" s="1292">
        <f>$D$23+$I$23</f>
        <v>18054</v>
      </c>
      <c r="L23" s="1183">
        <f>VLOOKUP($A$23,'SDS 2009 Diabetes by NHS board'!$A$16:$F$30,4,0)</f>
        <v>47.780740688759842</v>
      </c>
      <c r="M23" s="302">
        <f>VLOOKUP($A$23,'SDS 2009 Diabetes by NHS board'!$A$16:$F$31,5,0)</f>
        <v>230.94024666233923</v>
      </c>
      <c r="N23" s="1177">
        <f>VLOOKUP($A$23,'SDS 2009 Diabetes by NHS board'!$A$16:$F$31,6,0)</f>
        <v>18157</v>
      </c>
      <c r="O23" s="1181">
        <v>4455.4250584290212</v>
      </c>
      <c r="P23" s="1182">
        <f>'Structured education unit costs'!$B$19</f>
        <v>665</v>
      </c>
      <c r="Q23" s="1177">
        <f>'Structured education unit costs'!$E$19</f>
        <v>2025</v>
      </c>
      <c r="R23" s="1182">
        <f>'SDS 2009 Diabetes by NHS board'!$L$17</f>
        <v>63</v>
      </c>
      <c r="S23" s="299">
        <f>'SDS 2009 Diabetes by NHS board'!$M$17</f>
        <v>1917</v>
      </c>
      <c r="T23" s="1177">
        <f>'SDS 2009 Diabetes by NHS board'!$N$17</f>
        <v>1980</v>
      </c>
      <c r="U23" s="1182">
        <f>'SDS 2009 Diabetes by NHS board'!$O$17</f>
        <v>48</v>
      </c>
      <c r="V23" s="299">
        <f>'SDS 2009 Diabetes by NHS board'!$P$17</f>
        <v>1144</v>
      </c>
      <c r="W23" s="1177">
        <f>'SDS 2009 Diabetes by NHS board'!$Q$17</f>
        <v>1192</v>
      </c>
      <c r="X23" s="1181">
        <f>'SDS 2009 Diabetes by NHS board'!$R$17</f>
        <v>3172</v>
      </c>
      <c r="Y23" s="1181">
        <f>'SDS 2009 Diabetes by NHS board'!$S$17</f>
        <v>27.862940759811234</v>
      </c>
      <c r="Z23" s="1181">
        <f>'SDS 2009 Diabetes by NHS board'!$T$17</f>
        <v>3199.8629407598114</v>
      </c>
      <c r="HS23" s="18"/>
      <c r="HT23" s="18"/>
      <c r="HU23" s="18"/>
      <c r="HV23" s="18"/>
      <c r="HW23" s="18"/>
      <c r="HX23" s="18"/>
      <c r="HY23" s="18"/>
      <c r="HZ23" s="18"/>
      <c r="IA23" s="18"/>
      <c r="IB23" s="18"/>
    </row>
    <row r="24" spans="1:236" ht="15.75" thickBot="1">
      <c r="A24" s="8" t="s">
        <v>675</v>
      </c>
      <c r="B24" s="1175">
        <f>'SDS 2009 Diabetes by NHS board'!$B$18</f>
        <v>1120</v>
      </c>
      <c r="C24" s="1291">
        <f>$B$24/$B$25</f>
        <v>4.912194522903107E-3</v>
      </c>
      <c r="D24" s="1175">
        <f>'SDS 2009 Diabetes by NHS board'!$G$18</f>
        <v>181</v>
      </c>
      <c r="E24" s="242">
        <f>$D$24/$D$25</f>
        <v>6.613804947564585E-3</v>
      </c>
      <c r="F24" s="299">
        <f>'SDS 2009 Diabetes by NHS board'!H$18</f>
        <v>7.1640735192019589</v>
      </c>
      <c r="G24" s="299">
        <v>0</v>
      </c>
      <c r="H24" s="1177">
        <f>'SDS 2009 Diabetes by NHS board'!$I$18</f>
        <v>173.83592648079804</v>
      </c>
      <c r="I24" s="1175">
        <f>'SDS 2009 Diabetes by NHS board'!$J$18</f>
        <v>939</v>
      </c>
      <c r="J24" s="1290">
        <f>$I$24/$I$25</f>
        <v>4.7123414164123977E-3</v>
      </c>
      <c r="K24" s="1292">
        <f>$D$24+$I$24</f>
        <v>1120</v>
      </c>
      <c r="L24" s="1183">
        <f>VLOOKUP($A$24,'SDS 2009 Diabetes by NHS board'!$A$17:$F$31,4,0)</f>
        <v>2.9473167137418641</v>
      </c>
      <c r="M24" s="302">
        <f>VLOOKUP($A$24,'SDS 2009 Diabetes by NHS board'!$A$17:$F$32,5,0)</f>
        <v>14.24536411641901</v>
      </c>
      <c r="N24" s="1177">
        <f>VLOOKUP($A$24,'SDS 2009 Diabetes by NHS board'!$A$17:$F$32,6,0)</f>
        <v>1120</v>
      </c>
      <c r="O24" s="1181">
        <v>232.0746875317549</v>
      </c>
      <c r="P24" s="1182">
        <f>'Structured education unit costs'!$B$20</f>
        <v>66</v>
      </c>
      <c r="Q24" s="1177">
        <f>'Structured education unit costs'!$E$20</f>
        <v>115</v>
      </c>
      <c r="R24" s="1182">
        <f>'SDS 2009 Diabetes by NHS board'!$L$18</f>
        <v>7</v>
      </c>
      <c r="S24" s="299">
        <f>'SDS 2009 Diabetes by NHS board'!$M$18</f>
        <v>98</v>
      </c>
      <c r="T24" s="1177">
        <f>'SDS 2009 Diabetes by NHS board'!$N$18</f>
        <v>105</v>
      </c>
      <c r="U24" s="1182">
        <f>'SDS 2009 Diabetes by NHS board'!$O$18</f>
        <v>2</v>
      </c>
      <c r="V24" s="299">
        <f>'SDS 2009 Diabetes by NHS board'!$P$18</f>
        <v>64</v>
      </c>
      <c r="W24" s="1177">
        <f>'SDS 2009 Diabetes by NHS board'!$Q$18</f>
        <v>66</v>
      </c>
      <c r="X24" s="1181">
        <f>'SDS 2009 Diabetes by NHS board'!$R$18</f>
        <v>171</v>
      </c>
      <c r="Y24" s="1181">
        <f>'SDS 2009 Diabetes by NHS board'!$S$18</f>
        <v>1.7187031806459536</v>
      </c>
      <c r="Z24" s="1181">
        <f>'SDS 2009 Diabetes by NHS board'!$T$18</f>
        <v>172.71870318064595</v>
      </c>
      <c r="HS24" s="18"/>
      <c r="HT24" s="18"/>
      <c r="HU24" s="18"/>
      <c r="HV24" s="18"/>
      <c r="HW24" s="18"/>
      <c r="HX24" s="18"/>
      <c r="HY24" s="18"/>
      <c r="HZ24" s="18"/>
      <c r="IA24" s="18"/>
      <c r="IB24" s="18"/>
    </row>
    <row r="25" spans="1:236" s="7" customFormat="1" ht="16.5" thickBot="1">
      <c r="A25" s="1184" t="s">
        <v>688</v>
      </c>
      <c r="B25" s="1185">
        <f>SUM($B$11:$B$24)</f>
        <v>228004</v>
      </c>
      <c r="C25" s="1186">
        <f>SUM($C$11:$C$24)</f>
        <v>1.0000000000000002</v>
      </c>
      <c r="D25" s="1185">
        <f>SUM($D$11:$D$24)</f>
        <v>27367</v>
      </c>
      <c r="E25" s="1187">
        <f>SUM($E$11:$E$24)</f>
        <v>1</v>
      </c>
      <c r="F25" s="1188">
        <f>SUM($F$11:$F$24)</f>
        <v>1083.2000000000003</v>
      </c>
      <c r="G25" s="1188">
        <f>SUM($G$11:$G$24)</f>
        <v>19</v>
      </c>
      <c r="H25" s="1189">
        <f>SUM($H$11:$H$24)</f>
        <v>26283.799999999992</v>
      </c>
      <c r="I25" s="1185">
        <f>SUM($I$11:$I$24)</f>
        <v>199264</v>
      </c>
      <c r="J25" s="1186">
        <f>SUM($J$11:$J$24)</f>
        <v>0.99999999999999989</v>
      </c>
      <c r="K25" s="1190">
        <f>SUM($K$11:$K$24)</f>
        <v>226631</v>
      </c>
      <c r="L25" s="1185">
        <f>SUM($L$11:$L$24)</f>
        <v>599.99999999999989</v>
      </c>
      <c r="M25" s="1188">
        <f>SUM($M$11:$M$24)</f>
        <v>2900</v>
      </c>
      <c r="N25" s="1189">
        <f>SUM($N$11:$N$24)</f>
        <v>228004</v>
      </c>
      <c r="O25" s="1190">
        <f>SUM($O$11:$O$24)</f>
        <v>60366</v>
      </c>
      <c r="P25" s="1185">
        <f>SUM($P$11:$P$24)</f>
        <v>9096</v>
      </c>
      <c r="Q25" s="1189">
        <f>SUM($Q$11:$Q$24)</f>
        <v>24234</v>
      </c>
      <c r="R25" s="1185">
        <f>SUM($R$11:$R$24)</f>
        <v>1026</v>
      </c>
      <c r="S25" s="1188">
        <f>SUM($S$11:$S$24)</f>
        <v>20445</v>
      </c>
      <c r="T25" s="1189">
        <f>SUM($T$11:$T$24)</f>
        <v>21471</v>
      </c>
      <c r="U25" s="1185">
        <f>SUM($U$11:$U$24)</f>
        <v>736</v>
      </c>
      <c r="V25" s="1188">
        <f>SUM($V$11:$V$24)</f>
        <v>13584</v>
      </c>
      <c r="W25" s="1189">
        <f>SUM($W$11:$W$24)</f>
        <v>14320</v>
      </c>
      <c r="X25" s="1190">
        <f>SUM($X$11:$X$24)</f>
        <v>35791</v>
      </c>
      <c r="Y25" s="1190">
        <f>SUM($Y$11:$Y$24)</f>
        <v>349.88499999999993</v>
      </c>
      <c r="Z25" s="1190">
        <f>SUM($Z$11:$Z$24)</f>
        <v>36140.885000000002</v>
      </c>
      <c r="HS25" s="40"/>
      <c r="HT25" s="40"/>
      <c r="HU25" s="40"/>
      <c r="HV25" s="40"/>
      <c r="HW25" s="40"/>
      <c r="HX25" s="40"/>
      <c r="HY25" s="40"/>
      <c r="HZ25" s="40"/>
      <c r="IA25" s="40"/>
      <c r="IB25" s="40"/>
    </row>
    <row r="26" spans="1:236">
      <c r="A26" s="19" t="s">
        <v>696</v>
      </c>
    </row>
    <row r="27" spans="1:236">
      <c r="IB27" s="18"/>
    </row>
    <row r="28" spans="1:236">
      <c r="C28"/>
    </row>
  </sheetData>
  <sheetProtection password="C7D8" sheet="1" objects="1" scenarios="1"/>
  <mergeCells count="17">
    <mergeCell ref="Z8:Z9"/>
    <mergeCell ref="A8:A9"/>
    <mergeCell ref="B8:B9"/>
    <mergeCell ref="C8:C9"/>
    <mergeCell ref="K8:K9"/>
    <mergeCell ref="I8:J8"/>
    <mergeCell ref="D8:H8"/>
    <mergeCell ref="O8:O9"/>
    <mergeCell ref="P8:Q8"/>
    <mergeCell ref="R8:T8"/>
    <mergeCell ref="A1:B1"/>
    <mergeCell ref="U8:W8"/>
    <mergeCell ref="X8:X9"/>
    <mergeCell ref="Y8:Y9"/>
    <mergeCell ref="L8:L9"/>
    <mergeCell ref="M8:M9"/>
    <mergeCell ref="N8:N9"/>
  </mergeCells>
  <phoneticPr fontId="4" type="noConversion"/>
  <dataValidations xWindow="548" yWindow="247" count="1">
    <dataValidation type="list" allowBlank="1" showInputMessage="1" showErrorMessage="1" promptTitle="Select NHS Board" prompt="Use the drop down menu in the Select NHS Board cell to choose a specific NHS board." sqref="B7">
      <formula1>$A$10:$A$24</formula1>
    </dataValidation>
  </dataValidations>
  <pageMargins left="0.75" right="0.75" top="1" bottom="1" header="0.5" footer="0.5"/>
  <pageSetup paperSize="8" scale="69" orientation="landscape" r:id="rId1"/>
  <headerFooter alignWithMargins="0"/>
  <ignoredErrors>
    <ignoredError sqref="B12:B24 D12:I24 R11:Z24 L11:Q24 D11:F11 G11:I11" unlockedFormula="1"/>
  </ignoredErrors>
</worksheet>
</file>

<file path=xl/worksheets/sheet5.xml><?xml version="1.0" encoding="utf-8"?>
<worksheet xmlns="http://schemas.openxmlformats.org/spreadsheetml/2006/main" xmlns:r="http://schemas.openxmlformats.org/officeDocument/2006/relationships">
  <sheetPr codeName="Sheet10" enableFormatConditionsCalculation="0">
    <tabColor indexed="13"/>
    <pageSetUpPr autoPageBreaks="0" fitToPage="1"/>
  </sheetPr>
  <dimension ref="A1:I182"/>
  <sheetViews>
    <sheetView showGridLines="0" showRowColHeaders="0" workbookViewId="0">
      <pane ySplit="8" topLeftCell="A9" activePane="bottomLeft" state="frozen"/>
      <selection pane="bottomLeft" sqref="A1:G1"/>
    </sheetView>
  </sheetViews>
  <sheetFormatPr defaultRowHeight="15"/>
  <cols>
    <col min="1" max="1" width="5" style="1260" customWidth="1"/>
    <col min="2" max="2" width="40.5546875" style="16" customWidth="1"/>
    <col min="3" max="3" width="10.5546875" style="68" customWidth="1"/>
    <col min="4" max="4" width="9.88671875" style="9" customWidth="1"/>
    <col min="5" max="5" width="12.5546875" style="68" customWidth="1"/>
    <col min="6" max="6" width="12.88671875" style="68" customWidth="1"/>
    <col min="7" max="7" width="10.33203125" style="9" customWidth="1"/>
    <col min="8" max="8" width="12.21875" style="68" customWidth="1"/>
    <col min="9" max="16384" width="8.88671875" style="2"/>
  </cols>
  <sheetData>
    <row r="1" spans="1:8" s="332" customFormat="1" ht="80.099999999999994" customHeight="1">
      <c r="A1" s="1307" t="s">
        <v>794</v>
      </c>
      <c r="B1" s="1307"/>
      <c r="C1" s="1307"/>
      <c r="D1" s="1307"/>
      <c r="E1" s="1307"/>
      <c r="F1" s="1307"/>
      <c r="G1" s="1307"/>
      <c r="H1" s="331"/>
    </row>
    <row r="2" spans="1:8" s="332" customFormat="1" ht="15.75">
      <c r="A2" s="1254" t="s">
        <v>795</v>
      </c>
      <c r="B2" s="333"/>
      <c r="C2" s="331"/>
      <c r="D2" s="334"/>
      <c r="E2" s="331"/>
      <c r="F2" s="331"/>
      <c r="G2" s="334"/>
      <c r="H2" s="331"/>
    </row>
    <row r="3" spans="1:8" s="332" customFormat="1" ht="25.5" customHeight="1">
      <c r="A3" s="370"/>
      <c r="B3" s="338"/>
      <c r="C3" s="339"/>
      <c r="D3" s="338"/>
      <c r="E3" s="340"/>
      <c r="F3" s="340"/>
      <c r="G3" s="338"/>
      <c r="H3" s="340"/>
    </row>
    <row r="4" spans="1:8" s="332" customFormat="1" ht="32.25" thickBot="1">
      <c r="A4" s="998"/>
      <c r="B4" s="341" t="s">
        <v>681</v>
      </c>
      <c r="C4" s="342"/>
      <c r="D4" s="334"/>
      <c r="E4" s="331"/>
      <c r="F4" s="331"/>
      <c r="G4" s="334"/>
      <c r="H4" s="331"/>
    </row>
    <row r="5" spans="1:8" s="332" customFormat="1" ht="28.5" customHeight="1" thickTop="1">
      <c r="A5" s="998"/>
      <c r="B5" s="343" t="s">
        <v>680</v>
      </c>
      <c r="C5" s="1346" t="s">
        <v>688</v>
      </c>
      <c r="D5" s="1347"/>
      <c r="E5" s="1348"/>
      <c r="F5" s="344" t="str">
        <f>'STEP 1.Select NHS Board'!$B$7</f>
        <v>Select NHS board</v>
      </c>
      <c r="G5" s="282"/>
      <c r="H5" s="317"/>
    </row>
    <row r="6" spans="1:8" s="332" customFormat="1" ht="15.75" thickBot="1">
      <c r="A6" s="998"/>
      <c r="B6" s="274"/>
      <c r="C6" s="345"/>
      <c r="D6" s="346"/>
      <c r="E6" s="347"/>
      <c r="F6" s="348"/>
      <c r="G6" s="346"/>
      <c r="H6" s="349"/>
    </row>
    <row r="7" spans="1:8" s="332" customFormat="1" ht="27" customHeight="1" thickTop="1" thickBot="1">
      <c r="A7" s="1251" t="s">
        <v>682</v>
      </c>
      <c r="B7" s="351"/>
      <c r="C7" s="352"/>
      <c r="D7" s="353"/>
      <c r="E7" s="354"/>
      <c r="F7" s="1344" t="s">
        <v>684</v>
      </c>
      <c r="G7" s="1344"/>
      <c r="H7" s="1345"/>
    </row>
    <row r="8" spans="1:8" s="332" customFormat="1" ht="28.5" customHeight="1" thickBot="1">
      <c r="A8" s="1255"/>
      <c r="B8" s="229"/>
      <c r="C8" s="230" t="s">
        <v>484</v>
      </c>
      <c r="D8" s="231" t="s">
        <v>816</v>
      </c>
      <c r="E8" s="232" t="s">
        <v>509</v>
      </c>
      <c r="F8" s="356" t="s">
        <v>484</v>
      </c>
      <c r="G8" s="231" t="s">
        <v>816</v>
      </c>
      <c r="H8" s="357" t="s">
        <v>509</v>
      </c>
    </row>
    <row r="9" spans="1:8" s="332" customFormat="1" ht="15.75" thickTop="1">
      <c r="A9" s="1255"/>
      <c r="B9" s="233" t="s">
        <v>612</v>
      </c>
      <c r="C9" s="234"/>
      <c r="D9" s="235"/>
      <c r="E9" s="236"/>
      <c r="F9" s="358"/>
      <c r="G9" s="359"/>
      <c r="H9" s="360"/>
    </row>
    <row r="10" spans="1:8" ht="10.5" customHeight="1">
      <c r="A10" s="1256"/>
      <c r="B10" s="237"/>
      <c r="C10" s="238"/>
      <c r="D10" s="227"/>
      <c r="E10" s="239"/>
      <c r="F10" s="69"/>
      <c r="G10" s="66"/>
      <c r="H10" s="43"/>
    </row>
    <row r="11" spans="1:8">
      <c r="A11" s="1257">
        <v>1</v>
      </c>
      <c r="B11" s="237" t="s">
        <v>541</v>
      </c>
      <c r="C11" s="238"/>
      <c r="D11" s="227">
        <f>('Structured education unit costs'!$B$26+'Structured education unit costs'!$B$27+'Structured education unit costs'!$B$28+('Structured education unit costs'!$B$29/5))/'STEP 1.Select NHS Board'!$D$25*'STEP 1.Select NHS Board'!$P$25</f>
        <v>731.94764497387359</v>
      </c>
      <c r="E11" s="239"/>
      <c r="F11" s="69"/>
      <c r="G11" s="298">
        <f>IF($F$5="Select NHS board",0,VLOOKUP($F$5,'Structured education unit costs'!$A$6:$O$21,4,0))</f>
        <v>0</v>
      </c>
      <c r="H11" s="43"/>
    </row>
    <row r="12" spans="1:8">
      <c r="A12" s="1256"/>
      <c r="B12" s="237" t="s">
        <v>605</v>
      </c>
      <c r="C12" s="238"/>
      <c r="D12" s="227">
        <f>$D$13-$D$11</f>
        <v>8364.052355026126</v>
      </c>
      <c r="E12" s="239"/>
      <c r="F12" s="69"/>
      <c r="G12" s="299">
        <f>ROUNDUP($G$13-$G$11,1)</f>
        <v>0</v>
      </c>
      <c r="H12" s="43"/>
    </row>
    <row r="13" spans="1:8" ht="15.75">
      <c r="A13" s="1256"/>
      <c r="B13" s="240" t="s">
        <v>542</v>
      </c>
      <c r="C13" s="238"/>
      <c r="D13" s="228">
        <f>'STEP 1.Select NHS Board'!$P$25</f>
        <v>9096</v>
      </c>
      <c r="E13" s="241"/>
      <c r="F13" s="70"/>
      <c r="G13" s="228">
        <f>+IF($F$5="Select NHS board",0,VLOOKUP($F$5,'STEP 1.Select NHS Board'!$A$8:$T$25,16,0))</f>
        <v>0</v>
      </c>
      <c r="H13" s="43"/>
    </row>
    <row r="14" spans="1:8" ht="6" customHeight="1">
      <c r="A14" s="1256"/>
      <c r="B14" s="237"/>
      <c r="C14" s="238"/>
      <c r="D14" s="227"/>
      <c r="E14" s="239"/>
      <c r="F14" s="69"/>
      <c r="G14" s="66"/>
      <c r="H14" s="43"/>
    </row>
    <row r="15" spans="1:8" ht="25.5">
      <c r="A15" s="1258">
        <v>2</v>
      </c>
      <c r="B15" s="237" t="s">
        <v>600</v>
      </c>
      <c r="C15" s="238"/>
      <c r="D15" s="242">
        <f>'Structured education unit costs'!$B$49</f>
        <v>0.1</v>
      </c>
      <c r="E15" s="239"/>
      <c r="F15" s="69"/>
      <c r="G15" s="301">
        <f>'Structured education unit costs'!$B$49</f>
        <v>0.1</v>
      </c>
      <c r="H15" s="43"/>
    </row>
    <row r="16" spans="1:8" ht="25.5">
      <c r="A16" s="1256"/>
      <c r="B16" s="237" t="s">
        <v>601</v>
      </c>
      <c r="C16" s="238"/>
      <c r="D16" s="242">
        <f>1-$D$15</f>
        <v>0.9</v>
      </c>
      <c r="E16" s="239"/>
      <c r="F16" s="69"/>
      <c r="G16" s="301">
        <f>1-$G$15</f>
        <v>0.9</v>
      </c>
      <c r="H16" s="43"/>
    </row>
    <row r="17" spans="1:8">
      <c r="A17" s="1256"/>
      <c r="B17" s="237"/>
      <c r="C17" s="238"/>
      <c r="D17" s="242"/>
      <c r="E17" s="239"/>
      <c r="F17" s="69"/>
      <c r="G17" s="12"/>
      <c r="H17" s="43"/>
    </row>
    <row r="18" spans="1:8" ht="13.5" customHeight="1">
      <c r="A18" s="1256"/>
      <c r="B18" s="240" t="s">
        <v>602</v>
      </c>
      <c r="C18" s="238"/>
      <c r="D18" s="242"/>
      <c r="E18" s="239"/>
      <c r="F18" s="69"/>
      <c r="G18" s="12"/>
      <c r="H18" s="43"/>
    </row>
    <row r="19" spans="1:8">
      <c r="A19" s="1256"/>
      <c r="B19" s="237" t="s">
        <v>617</v>
      </c>
      <c r="C19" s="238"/>
      <c r="D19" s="243">
        <f>$D$11*$D$16</f>
        <v>658.75288047648621</v>
      </c>
      <c r="E19" s="239"/>
      <c r="F19" s="69"/>
      <c r="G19" s="302">
        <f>$G$11*$G$16</f>
        <v>0</v>
      </c>
      <c r="H19" s="43"/>
    </row>
    <row r="20" spans="1:8" ht="14.25" customHeight="1">
      <c r="A20" s="1256"/>
      <c r="B20" s="237" t="s">
        <v>598</v>
      </c>
      <c r="C20" s="238"/>
      <c r="D20" s="227">
        <f>$D$19/5</f>
        <v>131.75057609529725</v>
      </c>
      <c r="E20" s="239"/>
      <c r="F20" s="69"/>
      <c r="G20" s="299">
        <f>$G$19/5</f>
        <v>0</v>
      </c>
      <c r="H20" s="43"/>
    </row>
    <row r="21" spans="1:8">
      <c r="A21" s="1256"/>
      <c r="B21" s="237" t="s">
        <v>618</v>
      </c>
      <c r="C21" s="238"/>
      <c r="D21" s="242">
        <f>'Structured education unit costs'!$B$50</f>
        <v>0.7</v>
      </c>
      <c r="E21" s="239"/>
      <c r="F21" s="69"/>
      <c r="G21" s="301">
        <f>'Structured education unit costs'!$B$50</f>
        <v>0.7</v>
      </c>
      <c r="H21" s="43"/>
    </row>
    <row r="22" spans="1:8">
      <c r="A22" s="1256"/>
      <c r="B22" s="244" t="s">
        <v>186</v>
      </c>
      <c r="C22" s="238"/>
      <c r="D22" s="227">
        <f>$D$20*$D$21</f>
        <v>92.225403266708071</v>
      </c>
      <c r="E22" s="239"/>
      <c r="F22" s="69"/>
      <c r="G22" s="299">
        <f>$G$20*$G$21</f>
        <v>0</v>
      </c>
      <c r="H22" s="43"/>
    </row>
    <row r="23" spans="1:8" ht="38.25">
      <c r="A23" s="1257">
        <v>3</v>
      </c>
      <c r="B23" s="244" t="s">
        <v>604</v>
      </c>
      <c r="C23" s="238"/>
      <c r="D23" s="227">
        <v>63</v>
      </c>
      <c r="E23" s="239"/>
      <c r="F23" s="69"/>
      <c r="G23" s="298">
        <f>+IF($F$5="Select NHS board",0,VLOOKUP($F$5,'CSII assumptions&amp;unit costs'!$A$4:$O$18,7,0))</f>
        <v>0</v>
      </c>
      <c r="H23" s="43"/>
    </row>
    <row r="24" spans="1:8" ht="25.5">
      <c r="A24" s="1256"/>
      <c r="B24" s="244" t="s">
        <v>621</v>
      </c>
      <c r="C24" s="238"/>
      <c r="D24" s="227">
        <v>29</v>
      </c>
      <c r="E24" s="239"/>
      <c r="F24" s="69"/>
      <c r="G24" s="299">
        <f>$G$22-$G$23</f>
        <v>0</v>
      </c>
      <c r="H24" s="43"/>
    </row>
    <row r="25" spans="1:8">
      <c r="A25" s="1256"/>
      <c r="B25" s="244"/>
      <c r="C25" s="238"/>
      <c r="D25" s="227"/>
      <c r="E25" s="239"/>
      <c r="F25" s="69"/>
      <c r="G25" s="11"/>
      <c r="H25" s="43"/>
    </row>
    <row r="26" spans="1:8">
      <c r="A26" s="1256"/>
      <c r="B26" s="240" t="s">
        <v>615</v>
      </c>
      <c r="C26" s="238"/>
      <c r="D26" s="227"/>
      <c r="E26" s="239"/>
      <c r="F26" s="69"/>
      <c r="G26" s="11"/>
      <c r="H26" s="43"/>
    </row>
    <row r="27" spans="1:8">
      <c r="A27" s="1256"/>
      <c r="B27" s="237" t="s">
        <v>616</v>
      </c>
      <c r="C27" s="238"/>
      <c r="D27" s="227">
        <f>$D$12*$D$16</f>
        <v>7527.6471195235135</v>
      </c>
      <c r="E27" s="239"/>
      <c r="F27" s="69"/>
      <c r="G27" s="299">
        <f>$G$12*$G$16</f>
        <v>0</v>
      </c>
      <c r="H27" s="43"/>
    </row>
    <row r="28" spans="1:8">
      <c r="A28" s="1256"/>
      <c r="B28" s="237" t="s">
        <v>607</v>
      </c>
      <c r="C28" s="238"/>
      <c r="D28" s="227">
        <f>$D$27/5</f>
        <v>1505.5294239047028</v>
      </c>
      <c r="E28" s="239"/>
      <c r="F28" s="69"/>
      <c r="G28" s="299">
        <f>$G$27/5</f>
        <v>0</v>
      </c>
      <c r="H28" s="43"/>
    </row>
    <row r="29" spans="1:8" ht="15.75">
      <c r="A29" s="1256"/>
      <c r="B29" s="237" t="s">
        <v>606</v>
      </c>
      <c r="C29" s="245"/>
      <c r="D29" s="242">
        <f>'Structured education unit costs'!$B$50</f>
        <v>0.7</v>
      </c>
      <c r="E29" s="241"/>
      <c r="F29" s="70"/>
      <c r="G29" s="301">
        <f>'Structured education unit costs'!$B$50</f>
        <v>0.7</v>
      </c>
      <c r="H29" s="71"/>
    </row>
    <row r="30" spans="1:8">
      <c r="A30" s="1256"/>
      <c r="B30" s="244" t="s">
        <v>619</v>
      </c>
      <c r="C30" s="238"/>
      <c r="D30" s="227">
        <f>$D$28*$D$29</f>
        <v>1053.8705967332919</v>
      </c>
      <c r="E30" s="239"/>
      <c r="F30" s="69"/>
      <c r="G30" s="299">
        <f>$G$28*$G$29</f>
        <v>0</v>
      </c>
      <c r="H30" s="43"/>
    </row>
    <row r="31" spans="1:8" ht="25.5">
      <c r="A31" s="1256"/>
      <c r="B31" s="244" t="s">
        <v>610</v>
      </c>
      <c r="C31" s="238"/>
      <c r="D31" s="242">
        <f>'Structured education unit costs'!$B$51</f>
        <v>0.67</v>
      </c>
      <c r="E31" s="239"/>
      <c r="F31" s="69"/>
      <c r="G31" s="301">
        <f>'Structured education unit costs'!$B$51</f>
        <v>0.67</v>
      </c>
      <c r="H31" s="43"/>
    </row>
    <row r="32" spans="1:8" ht="25.5">
      <c r="A32" s="1256"/>
      <c r="B32" s="244" t="s">
        <v>620</v>
      </c>
      <c r="C32" s="238"/>
      <c r="D32" s="227">
        <f>ROUNDDOWN($D$30*$D$31,-1)</f>
        <v>700</v>
      </c>
      <c r="E32" s="239"/>
      <c r="F32" s="69"/>
      <c r="G32" s="299">
        <f>ROUNDUP($G$30,0)*$G$31</f>
        <v>0</v>
      </c>
      <c r="H32" s="43"/>
    </row>
    <row r="33" spans="1:8" ht="25.5">
      <c r="A33" s="1256"/>
      <c r="B33" s="244" t="s">
        <v>611</v>
      </c>
      <c r="C33" s="238"/>
      <c r="D33" s="242">
        <f>'Structured education unit costs'!$B$52</f>
        <v>0.33</v>
      </c>
      <c r="E33" s="239"/>
      <c r="F33" s="69"/>
      <c r="G33" s="301">
        <f>'Structured education unit costs'!$B$52</f>
        <v>0.33</v>
      </c>
      <c r="H33" s="43"/>
    </row>
    <row r="34" spans="1:8" ht="25.5">
      <c r="A34" s="1256"/>
      <c r="B34" s="244" t="s">
        <v>432</v>
      </c>
      <c r="C34" s="238"/>
      <c r="D34" s="227">
        <f>$D$30*$D$33</f>
        <v>347.77729692198636</v>
      </c>
      <c r="E34" s="239"/>
      <c r="F34" s="69"/>
      <c r="G34" s="299">
        <f>$G$30*$G$33</f>
        <v>0</v>
      </c>
      <c r="H34" s="43"/>
    </row>
    <row r="35" spans="1:8">
      <c r="A35" s="1256"/>
      <c r="B35" s="244"/>
      <c r="C35" s="238"/>
      <c r="D35" s="227"/>
      <c r="E35" s="239"/>
      <c r="F35" s="69"/>
      <c r="G35" s="11"/>
      <c r="H35" s="43"/>
    </row>
    <row r="36" spans="1:8" ht="25.5">
      <c r="A36" s="1256"/>
      <c r="B36" s="246" t="s">
        <v>650</v>
      </c>
      <c r="C36" s="247"/>
      <c r="D36" s="248">
        <f>$D$24+$D$32</f>
        <v>729</v>
      </c>
      <c r="E36" s="249"/>
      <c r="F36" s="167"/>
      <c r="G36" s="248">
        <f>$G$24+$G$32</f>
        <v>0</v>
      </c>
      <c r="H36" s="145"/>
    </row>
    <row r="37" spans="1:8" ht="25.5">
      <c r="A37" s="1256"/>
      <c r="B37" s="250" t="s">
        <v>651</v>
      </c>
      <c r="C37" s="251"/>
      <c r="D37" s="252">
        <f>ROUNDUP($D$34,-1)</f>
        <v>350</v>
      </c>
      <c r="E37" s="253"/>
      <c r="F37" s="168"/>
      <c r="G37" s="252">
        <f>IF($F$5="Forth Valley",ROUNDDOWN($G$34,-1),IF($F$5="Glasgow",ROUNDDOWN($G$34,0),IF($F$5="Shetland",ROUNDDOWN($G$34,0),ROUNDUP($G$34,0))))</f>
        <v>0</v>
      </c>
      <c r="H37" s="146"/>
    </row>
    <row r="38" spans="1:8" ht="10.5" customHeight="1">
      <c r="A38" s="1256"/>
      <c r="B38" s="244"/>
      <c r="C38" s="238"/>
      <c r="D38" s="227"/>
      <c r="E38" s="239"/>
      <c r="F38" s="69"/>
      <c r="G38" s="11"/>
      <c r="H38" s="43"/>
    </row>
    <row r="39" spans="1:8">
      <c r="A39" s="1256"/>
      <c r="B39" s="233" t="s">
        <v>613</v>
      </c>
      <c r="C39" s="234"/>
      <c r="D39" s="235"/>
      <c r="E39" s="236"/>
      <c r="F39" s="72"/>
      <c r="G39" s="73"/>
      <c r="H39" s="74"/>
    </row>
    <row r="40" spans="1:8">
      <c r="A40" s="1256"/>
      <c r="B40" s="244"/>
      <c r="C40" s="238"/>
      <c r="D40" s="227"/>
      <c r="E40" s="239"/>
      <c r="F40" s="69"/>
      <c r="G40" s="11"/>
      <c r="H40" s="43"/>
    </row>
    <row r="41" spans="1:8" ht="25.5">
      <c r="A41" s="1257">
        <v>4</v>
      </c>
      <c r="B41" s="240" t="s">
        <v>614</v>
      </c>
      <c r="C41" s="238"/>
      <c r="D41" s="228">
        <f>'Structured education unit costs'!$E$21</f>
        <v>24234</v>
      </c>
      <c r="E41" s="239"/>
      <c r="F41" s="69"/>
      <c r="G41" s="300">
        <f>+IF($F$5="Select NHS board",0,VLOOKUP($F$5,'STEP 1.Select NHS Board'!$A$8:$T$25,17,0))</f>
        <v>0</v>
      </c>
      <c r="H41" s="43"/>
    </row>
    <row r="42" spans="1:8" ht="9" customHeight="1">
      <c r="A42" s="1256"/>
      <c r="B42" s="244"/>
      <c r="C42" s="238"/>
      <c r="D42" s="227"/>
      <c r="E42" s="239"/>
      <c r="F42" s="69"/>
      <c r="G42" s="11"/>
      <c r="H42" s="43"/>
    </row>
    <row r="43" spans="1:8" ht="25.5">
      <c r="A43" s="1256"/>
      <c r="B43" s="237" t="s">
        <v>647</v>
      </c>
      <c r="C43" s="238"/>
      <c r="D43" s="242">
        <f>'Structured education unit costs'!$B$49</f>
        <v>0.1</v>
      </c>
      <c r="E43" s="239"/>
      <c r="F43" s="69"/>
      <c r="G43" s="301">
        <f>'Structured education unit costs'!$B$49</f>
        <v>0.1</v>
      </c>
      <c r="H43" s="43"/>
    </row>
    <row r="44" spans="1:8" ht="25.5">
      <c r="A44" s="1256"/>
      <c r="B44" s="237" t="s">
        <v>648</v>
      </c>
      <c r="C44" s="238"/>
      <c r="D44" s="242">
        <f>1-$D$43</f>
        <v>0.9</v>
      </c>
      <c r="E44" s="239"/>
      <c r="F44" s="69"/>
      <c r="G44" s="301">
        <f>1-$G$43</f>
        <v>0.9</v>
      </c>
      <c r="H44" s="43"/>
    </row>
    <row r="45" spans="1:8">
      <c r="A45" s="1256"/>
      <c r="B45" s="237" t="s">
        <v>649</v>
      </c>
      <c r="C45" s="238"/>
      <c r="D45" s="227">
        <f>$D$41*$D$44</f>
        <v>21810.600000000002</v>
      </c>
      <c r="E45" s="239"/>
      <c r="F45" s="69"/>
      <c r="G45" s="299">
        <f>$G$41*$G$44</f>
        <v>0</v>
      </c>
      <c r="H45" s="43"/>
    </row>
    <row r="46" spans="1:8">
      <c r="A46" s="1256"/>
      <c r="B46" s="237" t="s">
        <v>607</v>
      </c>
      <c r="C46" s="238"/>
      <c r="D46" s="227">
        <f>$D$45/5</f>
        <v>4362.1200000000008</v>
      </c>
      <c r="E46" s="239"/>
      <c r="F46" s="69"/>
      <c r="G46" s="299">
        <f>$G$45/5</f>
        <v>0</v>
      </c>
      <c r="H46" s="43"/>
    </row>
    <row r="47" spans="1:8">
      <c r="A47" s="1256"/>
      <c r="B47" s="237" t="s">
        <v>848</v>
      </c>
      <c r="C47" s="245"/>
      <c r="D47" s="242">
        <f>'Structured education unit costs'!$B$50</f>
        <v>0.7</v>
      </c>
      <c r="E47" s="239"/>
      <c r="F47" s="69"/>
      <c r="G47" s="301">
        <f>'Structured education unit costs'!$B$50</f>
        <v>0.7</v>
      </c>
      <c r="H47" s="43"/>
    </row>
    <row r="48" spans="1:8" s="7" customFormat="1" ht="25.5">
      <c r="A48" s="1259"/>
      <c r="B48" s="254" t="s">
        <v>849</v>
      </c>
      <c r="C48" s="245"/>
      <c r="D48" s="228">
        <f>ROUNDUP($D$46*$D$47,0)</f>
        <v>3054</v>
      </c>
      <c r="E48" s="241"/>
      <c r="F48" s="70"/>
      <c r="G48" s="228">
        <f>ROUNDUP($G$46*$G$47,0)</f>
        <v>0</v>
      </c>
      <c r="H48" s="71"/>
    </row>
    <row r="49" spans="1:8">
      <c r="A49" s="1256"/>
      <c r="B49" s="244"/>
      <c r="C49" s="238"/>
      <c r="D49" s="227"/>
      <c r="E49" s="239"/>
      <c r="F49" s="69"/>
      <c r="G49" s="11"/>
      <c r="H49" s="43"/>
    </row>
    <row r="50" spans="1:8" ht="15.75">
      <c r="A50" s="1256"/>
      <c r="B50" s="255" t="s">
        <v>510</v>
      </c>
      <c r="C50" s="256"/>
      <c r="D50" s="257"/>
      <c r="E50" s="258"/>
      <c r="F50" s="169"/>
      <c r="G50" s="170"/>
      <c r="H50" s="171"/>
    </row>
    <row r="51" spans="1:8" ht="9.75" customHeight="1">
      <c r="A51" s="1256"/>
      <c r="B51" s="237"/>
      <c r="C51" s="238"/>
      <c r="D51" s="228"/>
      <c r="E51" s="239"/>
      <c r="F51" s="69"/>
      <c r="G51" s="67"/>
      <c r="H51" s="43"/>
    </row>
    <row r="52" spans="1:8">
      <c r="A52" s="1256"/>
      <c r="B52" s="240" t="s">
        <v>520</v>
      </c>
      <c r="C52" s="259"/>
      <c r="D52" s="260"/>
      <c r="E52" s="261"/>
      <c r="F52" s="80"/>
      <c r="G52" s="30"/>
      <c r="H52" s="79"/>
    </row>
    <row r="53" spans="1:8" ht="15.75">
      <c r="A53" s="1257">
        <v>5</v>
      </c>
      <c r="B53" s="262" t="s">
        <v>575</v>
      </c>
      <c r="C53" s="259"/>
      <c r="D53" s="260"/>
      <c r="E53" s="261"/>
      <c r="F53" s="80"/>
      <c r="G53" s="30"/>
      <c r="H53" s="79"/>
    </row>
    <row r="54" spans="1:8" ht="25.5">
      <c r="A54" s="1256"/>
      <c r="B54" s="237" t="s">
        <v>652</v>
      </c>
      <c r="C54" s="259"/>
      <c r="D54" s="260">
        <f>$D$36</f>
        <v>729</v>
      </c>
      <c r="E54" s="261"/>
      <c r="F54" s="80"/>
      <c r="G54" s="298">
        <f>(IF($F$5="Select NHS board",0,VLOOKUP($F$5,'STEP 1.Select NHS Board'!$A$11:$O$65,5,0))*$D$54)</f>
        <v>0</v>
      </c>
      <c r="H54" s="79"/>
    </row>
    <row r="55" spans="1:8">
      <c r="A55" s="1256"/>
      <c r="B55" s="229" t="s">
        <v>573</v>
      </c>
      <c r="C55" s="238"/>
      <c r="D55" s="263">
        <f>'Structured education unit costs'!$B$74</f>
        <v>8</v>
      </c>
      <c r="E55" s="239"/>
      <c r="F55" s="13"/>
      <c r="G55" s="303">
        <f>'Structured education unit costs'!$B$74</f>
        <v>8</v>
      </c>
      <c r="H55" s="33"/>
    </row>
    <row r="56" spans="1:8">
      <c r="A56" s="1256"/>
      <c r="B56" s="240" t="s">
        <v>345</v>
      </c>
      <c r="C56" s="245"/>
      <c r="D56" s="228">
        <v>94</v>
      </c>
      <c r="E56" s="241"/>
      <c r="F56" s="82"/>
      <c r="G56" s="1191">
        <f>ROUNDUP($G$54/$G$55,0)</f>
        <v>0</v>
      </c>
      <c r="H56" s="33"/>
    </row>
    <row r="57" spans="1:8" ht="5.25" customHeight="1">
      <c r="A57" s="1256"/>
      <c r="B57" s="229"/>
      <c r="C57" s="238"/>
      <c r="D57" s="227"/>
      <c r="E57" s="239"/>
      <c r="F57" s="13"/>
      <c r="G57" s="66"/>
      <c r="H57" s="33"/>
    </row>
    <row r="58" spans="1:8" ht="25.5">
      <c r="A58" s="1256"/>
      <c r="B58" s="240" t="s">
        <v>502</v>
      </c>
      <c r="C58" s="238"/>
      <c r="D58" s="227"/>
      <c r="E58" s="239"/>
      <c r="F58" s="13"/>
      <c r="G58" s="66"/>
      <c r="H58" s="33"/>
    </row>
    <row r="59" spans="1:8" ht="6" customHeight="1">
      <c r="A59" s="1256"/>
      <c r="B59" s="264"/>
      <c r="C59" s="238"/>
      <c r="D59" s="227"/>
      <c r="E59" s="239"/>
      <c r="F59" s="13"/>
      <c r="G59" s="66"/>
      <c r="H59" s="33"/>
    </row>
    <row r="60" spans="1:8">
      <c r="A60" s="1257">
        <v>6</v>
      </c>
      <c r="B60" s="237" t="s">
        <v>576</v>
      </c>
      <c r="C60" s="265"/>
      <c r="D60" s="227">
        <v>24</v>
      </c>
      <c r="E60" s="266"/>
      <c r="F60" s="69"/>
      <c r="G60" s="310">
        <f>IF($F$5="Greater Glasgow &amp; Clyde",4,IF($F$5="Borders",0,IF($F$5="Lothian",4,IF($F$5="Orkney",0,IF($F$5="Shetland",0,IF($F$5="Western Isles",0,2))))))</f>
        <v>2</v>
      </c>
      <c r="H60" s="33"/>
    </row>
    <row r="61" spans="1:8">
      <c r="A61" s="1257">
        <v>7</v>
      </c>
      <c r="B61" s="237" t="s">
        <v>189</v>
      </c>
      <c r="C61" s="265"/>
      <c r="D61" s="227">
        <f>$D$60*'Structured education unit costs'!$B$77*'Structured education unit costs'!$B$78</f>
        <v>720</v>
      </c>
      <c r="E61" s="266"/>
      <c r="F61" s="69"/>
      <c r="G61" s="299">
        <f>$G$60*'Structured education unit costs'!$B$77*'Structured education unit costs'!$B$78</f>
        <v>60</v>
      </c>
      <c r="H61" s="33"/>
    </row>
    <row r="62" spans="1:8">
      <c r="A62" s="1257">
        <v>8</v>
      </c>
      <c r="B62" s="237" t="s">
        <v>579</v>
      </c>
      <c r="C62" s="238">
        <f>'Structured education unit costs'!$B$96</f>
        <v>3203.001937046005</v>
      </c>
      <c r="D62" s="227"/>
      <c r="E62" s="239"/>
      <c r="F62" s="304">
        <f>'Structured education unit costs'!$B$96</f>
        <v>3203.001937046005</v>
      </c>
      <c r="G62" s="66"/>
      <c r="H62" s="33"/>
    </row>
    <row r="63" spans="1:8">
      <c r="A63" s="1256"/>
      <c r="B63" s="240" t="s">
        <v>580</v>
      </c>
      <c r="C63" s="245"/>
      <c r="D63" s="228"/>
      <c r="E63" s="261">
        <f>$C$62*$D$60/2</f>
        <v>38436.02324455206</v>
      </c>
      <c r="F63" s="82"/>
      <c r="G63" s="67"/>
      <c r="H63" s="306">
        <f>$F$62*$G$60/2</f>
        <v>3203.001937046005</v>
      </c>
    </row>
    <row r="64" spans="1:8">
      <c r="A64" s="1256"/>
      <c r="B64" s="237"/>
      <c r="C64" s="238"/>
      <c r="D64" s="227"/>
      <c r="E64" s="239"/>
      <c r="F64" s="13"/>
      <c r="G64" s="66"/>
      <c r="H64" s="33"/>
    </row>
    <row r="65" spans="1:9">
      <c r="A65" s="1256"/>
      <c r="B65" s="240" t="s">
        <v>581</v>
      </c>
      <c r="C65" s="238"/>
      <c r="D65" s="227"/>
      <c r="E65" s="239"/>
      <c r="F65" s="13"/>
      <c r="G65" s="66"/>
      <c r="H65" s="33"/>
    </row>
    <row r="66" spans="1:9" ht="8.25" customHeight="1">
      <c r="A66" s="1256"/>
      <c r="B66" s="240"/>
      <c r="C66" s="245"/>
      <c r="D66" s="228"/>
      <c r="E66" s="241"/>
      <c r="F66" s="82"/>
      <c r="G66" s="67"/>
      <c r="H66" s="34"/>
    </row>
    <row r="67" spans="1:9">
      <c r="A67" s="1257">
        <v>9</v>
      </c>
      <c r="B67" s="237" t="s">
        <v>582</v>
      </c>
      <c r="C67" s="259">
        <f>'Structured education unit costs'!$B$129</f>
        <v>1682.4497336561744</v>
      </c>
      <c r="D67" s="260">
        <f>$D$56</f>
        <v>94</v>
      </c>
      <c r="E67" s="261">
        <f>$C$67*$D$67</f>
        <v>158150.27496368039</v>
      </c>
      <c r="F67" s="305">
        <f>'Structured education unit costs'!$B$129</f>
        <v>1682.4497336561744</v>
      </c>
      <c r="G67" s="310">
        <f>IF($F$5="Borders",0,IF($F$5="Lothian",$G$56+2,ROUNDUP(IF($F$5="Orkney",0,IF($F$5="Shetland",0,IF($F$5="Western Isles",0,$G$56))),0)))</f>
        <v>0</v>
      </c>
      <c r="H67" s="306">
        <f>IF($F$5="Borders",0,IF($F$5="Orkney",ROUNDDOWN($G$54,0)*'Structured education unit costs'!$B$130,IF($F$5="Shetland",ROUNDDOWN($G$54,0)*'Structured education unit costs'!$B$130,IF($F$5="Western Isles",ROUNDUP($G$54,0)*'Structured education unit costs'!B130,$F$67*$G$67))))</f>
        <v>0</v>
      </c>
      <c r="I67" s="163"/>
    </row>
    <row r="68" spans="1:9" ht="25.5">
      <c r="A68" s="1257">
        <v>10</v>
      </c>
      <c r="B68" s="237" t="s">
        <v>853</v>
      </c>
      <c r="C68" s="259"/>
      <c r="D68" s="260">
        <f>($D$67*'Structured education unit costs'!$B$99*'Structured education unit costs'!$B$100)*'Structured education unit costs'!$B$102</f>
        <v>1973.9999999999998</v>
      </c>
      <c r="E68" s="261"/>
      <c r="F68" s="29"/>
      <c r="G68" s="298">
        <f>($G$67*'Structured education unit costs'!$B$99*'Structured education unit costs'!$B$100)*'Structured education unit costs'!$B$102</f>
        <v>0</v>
      </c>
      <c r="H68" s="35"/>
      <c r="I68" s="163"/>
    </row>
    <row r="69" spans="1:9" ht="25.5">
      <c r="A69" s="1256"/>
      <c r="B69" s="237" t="s">
        <v>854</v>
      </c>
      <c r="C69" s="259"/>
      <c r="D69" s="260">
        <f>($D$67*'Structured education unit costs'!$B$99*'Structured education unit costs'!$B$100)*'Structured education unit costs'!$B$103</f>
        <v>846</v>
      </c>
      <c r="E69" s="261"/>
      <c r="F69" s="29"/>
      <c r="G69" s="298">
        <f>($G$67*'Structured education unit costs'!$B$99*'Structured education unit costs'!$B$100)*'Structured education unit costs'!$B$103</f>
        <v>0</v>
      </c>
      <c r="H69" s="35"/>
      <c r="I69" s="163"/>
    </row>
    <row r="70" spans="1:9" ht="25.5">
      <c r="B70" s="237" t="s">
        <v>855</v>
      </c>
      <c r="C70" s="265"/>
      <c r="D70" s="227">
        <f>$D$68+$D$69</f>
        <v>2820</v>
      </c>
      <c r="E70" s="266"/>
      <c r="F70" s="164"/>
      <c r="G70" s="299">
        <f>$G$68+$G$69</f>
        <v>0</v>
      </c>
      <c r="H70" s="43"/>
    </row>
    <row r="71" spans="1:9">
      <c r="A71" s="1257">
        <v>11</v>
      </c>
      <c r="B71" s="237" t="s">
        <v>590</v>
      </c>
      <c r="C71" s="259"/>
      <c r="D71" s="260">
        <f>$D$67*'Structured education unit costs'!$B$107*'Structured education unit costs'!$B$108</f>
        <v>1410</v>
      </c>
      <c r="E71" s="261"/>
      <c r="F71" s="29"/>
      <c r="G71" s="298">
        <f>IF($F$5="Borders",0,IF($F$5="Lothian",($I$67+2)*'Structured education unit costs'!$B$107*'Structured education unit costs'!$B$108,$G$67*'Structured education unit costs'!$B$107*'Structured education unit costs'!$B$108))</f>
        <v>0</v>
      </c>
      <c r="H71" s="35"/>
    </row>
    <row r="72" spans="1:9" ht="9.75" customHeight="1">
      <c r="A72" s="1256"/>
      <c r="B72" s="237"/>
      <c r="C72" s="259"/>
      <c r="D72" s="260"/>
      <c r="E72" s="261"/>
      <c r="F72" s="29"/>
      <c r="G72" s="26"/>
      <c r="H72" s="35"/>
    </row>
    <row r="73" spans="1:9" ht="25.5">
      <c r="A73" s="1256"/>
      <c r="B73" s="240" t="s">
        <v>591</v>
      </c>
      <c r="C73" s="245"/>
      <c r="D73" s="228">
        <f>$D$61+$D$70+$D$71</f>
        <v>4950</v>
      </c>
      <c r="E73" s="241"/>
      <c r="F73" s="82"/>
      <c r="G73" s="228">
        <f>$G$61+$G$70+$G$71</f>
        <v>60</v>
      </c>
      <c r="H73" s="34"/>
    </row>
    <row r="74" spans="1:9" ht="26.25" thickBot="1">
      <c r="A74" s="1256"/>
      <c r="B74" s="267" t="s">
        <v>589</v>
      </c>
      <c r="C74" s="268"/>
      <c r="D74" s="269"/>
      <c r="E74" s="270">
        <f>$E$63+$E$67</f>
        <v>196586.29820823245</v>
      </c>
      <c r="F74" s="147"/>
      <c r="G74" s="144"/>
      <c r="H74" s="307">
        <f>$H$63+$H$67</f>
        <v>3203.001937046005</v>
      </c>
    </row>
    <row r="75" spans="1:9" ht="11.25" customHeight="1">
      <c r="A75" s="1256"/>
      <c r="B75" s="254"/>
      <c r="C75" s="271"/>
      <c r="D75" s="272"/>
      <c r="E75" s="273"/>
      <c r="F75" s="172"/>
      <c r="G75" s="173"/>
      <c r="H75" s="174"/>
    </row>
    <row r="76" spans="1:9">
      <c r="A76" s="1256"/>
      <c r="B76" s="240" t="s">
        <v>520</v>
      </c>
      <c r="C76" s="259"/>
      <c r="D76" s="260"/>
      <c r="E76" s="261"/>
      <c r="F76" s="80"/>
      <c r="G76" s="30"/>
      <c r="H76" s="79"/>
    </row>
    <row r="77" spans="1:9" ht="15.75">
      <c r="A77" s="1257">
        <v>12</v>
      </c>
      <c r="B77" s="262" t="s">
        <v>592</v>
      </c>
      <c r="C77" s="259"/>
      <c r="D77" s="260"/>
      <c r="E77" s="261"/>
      <c r="F77" s="80"/>
      <c r="G77" s="30"/>
      <c r="H77" s="79"/>
    </row>
    <row r="78" spans="1:9" s="7" customFormat="1" ht="26.25">
      <c r="A78" s="1259"/>
      <c r="B78" s="237" t="s">
        <v>653</v>
      </c>
      <c r="C78" s="259"/>
      <c r="D78" s="260">
        <f>$D$37</f>
        <v>350</v>
      </c>
      <c r="E78" s="261"/>
      <c r="F78" s="80"/>
      <c r="G78" s="298">
        <f>$G$37</f>
        <v>0</v>
      </c>
      <c r="H78" s="79"/>
    </row>
    <row r="79" spans="1:9" s="7" customFormat="1" ht="15.75">
      <c r="A79" s="1259"/>
      <c r="B79" s="229" t="s">
        <v>573</v>
      </c>
      <c r="C79" s="238"/>
      <c r="D79" s="263">
        <f>'Structured education unit costs'!$B$74</f>
        <v>8</v>
      </c>
      <c r="E79" s="239"/>
      <c r="F79" s="13"/>
      <c r="G79" s="303">
        <f>'Structured education unit costs'!$B$74</f>
        <v>8</v>
      </c>
      <c r="H79" s="33"/>
    </row>
    <row r="80" spans="1:9" s="7" customFormat="1" ht="15.75">
      <c r="A80" s="1259"/>
      <c r="B80" s="240" t="s">
        <v>850</v>
      </c>
      <c r="C80" s="245"/>
      <c r="D80" s="228">
        <v>47</v>
      </c>
      <c r="E80" s="241"/>
      <c r="F80" s="82"/>
      <c r="G80" s="228">
        <f>$G$78/$G$79</f>
        <v>0</v>
      </c>
      <c r="H80" s="33"/>
    </row>
    <row r="81" spans="1:9">
      <c r="B81" s="229"/>
      <c r="C81" s="238"/>
      <c r="D81" s="227"/>
      <c r="E81" s="239"/>
      <c r="F81" s="308"/>
      <c r="G81" s="227"/>
      <c r="H81" s="309"/>
    </row>
    <row r="82" spans="1:9" ht="25.5">
      <c r="B82" s="240" t="s">
        <v>503</v>
      </c>
      <c r="C82" s="238"/>
      <c r="D82" s="227"/>
      <c r="E82" s="239"/>
      <c r="F82" s="308"/>
      <c r="G82" s="227"/>
      <c r="H82" s="309"/>
    </row>
    <row r="83" spans="1:9">
      <c r="B83" s="264"/>
      <c r="C83" s="238"/>
      <c r="D83" s="227"/>
      <c r="E83" s="239"/>
      <c r="F83" s="308"/>
      <c r="G83" s="227"/>
      <c r="H83" s="309"/>
    </row>
    <row r="84" spans="1:9">
      <c r="A84" s="1263">
        <v>13</v>
      </c>
      <c r="B84" s="237" t="s">
        <v>504</v>
      </c>
      <c r="C84" s="265"/>
      <c r="D84" s="227">
        <v>10</v>
      </c>
      <c r="E84" s="266"/>
      <c r="F84" s="69"/>
      <c r="G84" s="310">
        <f>IF($F$5="Borders",0,IF($F$5="Shetland",0,IF($F$5="Orkney",0,IF($F$5="Greater Glasgow &amp; Clyde",0,IF($F$5="Dumfries &amp; Galloway",0,IF($F$5="Lothian",0,IF($F$5="Grampian",0,IF($F$5="Lanarkshire",0,2))))))))</f>
        <v>2</v>
      </c>
      <c r="H84" s="33"/>
    </row>
    <row r="85" spans="1:9" ht="25.5">
      <c r="A85" s="1263">
        <v>14</v>
      </c>
      <c r="B85" s="237" t="s">
        <v>507</v>
      </c>
      <c r="C85" s="265"/>
      <c r="D85" s="227">
        <f>$D$84*'Structured education unit costs'!$B$142</f>
        <v>1200</v>
      </c>
      <c r="E85" s="266"/>
      <c r="F85" s="69"/>
      <c r="G85" s="299">
        <f>$G$84*'Structured education unit costs'!$B$142</f>
        <v>240</v>
      </c>
      <c r="H85" s="33"/>
    </row>
    <row r="86" spans="1:9">
      <c r="A86" s="1263">
        <v>15</v>
      </c>
      <c r="B86" s="237" t="s">
        <v>506</v>
      </c>
      <c r="C86" s="238">
        <f>'Structured education unit costs'!$B$153</f>
        <v>16596.00774818402</v>
      </c>
      <c r="D86" s="227"/>
      <c r="E86" s="239"/>
      <c r="F86" s="304">
        <f>'Structured education unit costs'!$B$153</f>
        <v>16596.00774818402</v>
      </c>
      <c r="G86" s="227"/>
      <c r="H86" s="309"/>
    </row>
    <row r="87" spans="1:9">
      <c r="B87" s="240" t="s">
        <v>505</v>
      </c>
      <c r="C87" s="245"/>
      <c r="D87" s="228"/>
      <c r="E87" s="261">
        <f>$C$86*$D$84/2</f>
        <v>82980.038740920107</v>
      </c>
      <c r="F87" s="313"/>
      <c r="G87" s="228"/>
      <c r="H87" s="306">
        <f>$F$86*$G$84/2</f>
        <v>16596.00774818402</v>
      </c>
    </row>
    <row r="88" spans="1:9">
      <c r="B88" s="274"/>
      <c r="C88" s="265"/>
      <c r="D88" s="275"/>
      <c r="E88" s="266"/>
      <c r="F88" s="314"/>
      <c r="G88" s="275"/>
      <c r="H88" s="311"/>
    </row>
    <row r="89" spans="1:9">
      <c r="B89" s="240" t="s">
        <v>508</v>
      </c>
      <c r="C89" s="238"/>
      <c r="D89" s="227"/>
      <c r="E89" s="239"/>
      <c r="F89" s="308"/>
      <c r="G89" s="227"/>
      <c r="H89" s="309"/>
    </row>
    <row r="90" spans="1:9">
      <c r="B90" s="240"/>
      <c r="C90" s="245"/>
      <c r="D90" s="228"/>
      <c r="E90" s="241"/>
      <c r="F90" s="313"/>
      <c r="G90" s="228"/>
      <c r="H90" s="312"/>
    </row>
    <row r="91" spans="1:9">
      <c r="A91" s="1263">
        <v>16</v>
      </c>
      <c r="B91" s="237" t="s">
        <v>582</v>
      </c>
      <c r="C91" s="259">
        <f>'Structured education unit costs'!$B$181</f>
        <v>3264.6814769975786</v>
      </c>
      <c r="D91" s="260">
        <f>$D$80</f>
        <v>47</v>
      </c>
      <c r="E91" s="261">
        <f>$C$91*$D$91</f>
        <v>153440.0294188862</v>
      </c>
      <c r="F91" s="305">
        <f>'Structured education unit costs'!$B$181</f>
        <v>3264.6814769975786</v>
      </c>
      <c r="G91" s="298">
        <f>IF($F$5="Borders",0,IF($F$5="Lothian",$G$80+2,IF($F$5="Orkney",0,IF($F$5="Shetland",0,IF($F$5="Western Isles",0,IF($F$5="Grampian",ROUNDDOWN($G$78/$G$79,0),ROUNDUP($G$80,0)))))))</f>
        <v>0</v>
      </c>
      <c r="H91" s="306">
        <f>$F$91*$G$91</f>
        <v>0</v>
      </c>
      <c r="I91" s="26"/>
    </row>
    <row r="92" spans="1:9" ht="25.5">
      <c r="A92" s="1263">
        <v>17</v>
      </c>
      <c r="B92" s="237" t="s">
        <v>853</v>
      </c>
      <c r="C92" s="259"/>
      <c r="D92" s="260">
        <f>($D$91*'Structured education unit costs'!$B$156*'Structured education unit costs'!$B$157)*'Structured education unit costs'!$B$102</f>
        <v>2467.5</v>
      </c>
      <c r="E92" s="261"/>
      <c r="F92" s="315"/>
      <c r="G92" s="298">
        <f>($G$91*'Structured education unit costs'!$B$156*'Structured education unit costs'!$B$157)*'Structured education unit costs'!$B$102</f>
        <v>0</v>
      </c>
      <c r="H92" s="306"/>
      <c r="I92" s="26"/>
    </row>
    <row r="93" spans="1:9" ht="25.5">
      <c r="B93" s="237" t="s">
        <v>854</v>
      </c>
      <c r="C93" s="259"/>
      <c r="D93" s="260">
        <f>($D$91*'Structured education unit costs'!$B$156*'Structured education unit costs'!$B$157)*'Structured education unit costs'!$B$103</f>
        <v>1057.5</v>
      </c>
      <c r="E93" s="261"/>
      <c r="F93" s="315"/>
      <c r="G93" s="298">
        <f>($G$91*'Structured education unit costs'!$B$156*'Structured education unit costs'!$B$157)*'Structured education unit costs'!$B$103</f>
        <v>0</v>
      </c>
      <c r="H93" s="306"/>
      <c r="I93" s="26"/>
    </row>
    <row r="94" spans="1:9" ht="25.5">
      <c r="B94" s="237" t="s">
        <v>855</v>
      </c>
      <c r="C94" s="259"/>
      <c r="D94" s="260">
        <f>$D$92+$D$93</f>
        <v>3525</v>
      </c>
      <c r="E94" s="261"/>
      <c r="F94" s="315"/>
      <c r="G94" s="298">
        <f>$G$92+$G$93</f>
        <v>0</v>
      </c>
      <c r="H94" s="311"/>
    </row>
    <row r="95" spans="1:9">
      <c r="A95" s="1263">
        <v>18</v>
      </c>
      <c r="B95" s="237" t="s">
        <v>590</v>
      </c>
      <c r="C95" s="259"/>
      <c r="D95" s="260">
        <f>$D$91*'Structured education unit costs'!$B$163*'Structured education unit costs'!$B$164</f>
        <v>705</v>
      </c>
      <c r="E95" s="261"/>
      <c r="F95" s="315"/>
      <c r="G95" s="298">
        <f>$G$91*'Structured education unit costs'!$B$163*'Structured education unit costs'!$B$164</f>
        <v>0</v>
      </c>
      <c r="H95" s="306"/>
    </row>
    <row r="96" spans="1:9">
      <c r="B96" s="237"/>
      <c r="C96" s="259"/>
      <c r="D96" s="260"/>
      <c r="E96" s="261"/>
      <c r="F96" s="315"/>
      <c r="G96" s="260"/>
      <c r="H96" s="306"/>
    </row>
    <row r="97" spans="1:9" ht="25.5">
      <c r="B97" s="240" t="s">
        <v>591</v>
      </c>
      <c r="C97" s="245"/>
      <c r="D97" s="228">
        <f>$D$85+$D$94+$D$95</f>
        <v>5430</v>
      </c>
      <c r="E97" s="241"/>
      <c r="F97" s="313"/>
      <c r="G97" s="228">
        <f>$G$85+$G$94+$G$95</f>
        <v>240</v>
      </c>
      <c r="H97" s="312"/>
    </row>
    <row r="98" spans="1:9" ht="26.25" thickBot="1">
      <c r="B98" s="276" t="s">
        <v>589</v>
      </c>
      <c r="C98" s="277"/>
      <c r="D98" s="278"/>
      <c r="E98" s="279">
        <f>$E$87+$E$91</f>
        <v>236420.06815980631</v>
      </c>
      <c r="F98" s="316"/>
      <c r="G98" s="278"/>
      <c r="H98" s="307">
        <f>$H$87+$H$91</f>
        <v>16596.00774818402</v>
      </c>
    </row>
    <row r="99" spans="1:9" ht="7.5" customHeight="1" thickTop="1">
      <c r="B99" s="911"/>
      <c r="C99" s="281"/>
      <c r="D99" s="282"/>
      <c r="E99" s="283"/>
      <c r="F99" s="281"/>
      <c r="G99" s="282"/>
      <c r="H99" s="317"/>
    </row>
    <row r="100" spans="1:9">
      <c r="B100" s="240" t="s">
        <v>521</v>
      </c>
      <c r="C100" s="265"/>
      <c r="D100" s="275"/>
      <c r="E100" s="266"/>
      <c r="F100" s="265"/>
      <c r="G100" s="275"/>
      <c r="H100" s="311"/>
    </row>
    <row r="101" spans="1:9" ht="15.75">
      <c r="A101" s="1263">
        <v>19</v>
      </c>
      <c r="B101" s="262" t="s">
        <v>201</v>
      </c>
      <c r="C101" s="265"/>
      <c r="D101" s="275"/>
      <c r="E101" s="266"/>
      <c r="F101" s="265"/>
      <c r="G101" s="275"/>
      <c r="H101" s="311"/>
    </row>
    <row r="102" spans="1:9" ht="25.5">
      <c r="B102" s="237" t="s">
        <v>274</v>
      </c>
      <c r="C102" s="265"/>
      <c r="D102" s="260">
        <f>$D$48</f>
        <v>3054</v>
      </c>
      <c r="E102" s="266"/>
      <c r="F102" s="318"/>
      <c r="G102" s="298">
        <f>$G$48</f>
        <v>0</v>
      </c>
      <c r="H102" s="311"/>
    </row>
    <row r="103" spans="1:9">
      <c r="B103" s="229" t="s">
        <v>573</v>
      </c>
      <c r="C103" s="238"/>
      <c r="D103" s="263">
        <f>'Structured education unit costs'!$B$185</f>
        <v>18</v>
      </c>
      <c r="E103" s="239"/>
      <c r="F103" s="319"/>
      <c r="G103" s="303">
        <f>'Structured education unit costs'!$B$185</f>
        <v>18</v>
      </c>
      <c r="H103" s="309"/>
    </row>
    <row r="104" spans="1:9">
      <c r="B104" s="240" t="s">
        <v>851</v>
      </c>
      <c r="C104" s="245"/>
      <c r="D104" s="228">
        <f>$D$102/$D$103</f>
        <v>169.66666666666666</v>
      </c>
      <c r="E104" s="241"/>
      <c r="F104" s="245"/>
      <c r="G104" s="228">
        <f>$G$102/$G$103</f>
        <v>0</v>
      </c>
      <c r="H104" s="309"/>
      <c r="I104" s="14"/>
    </row>
    <row r="105" spans="1:9">
      <c r="B105" s="284"/>
      <c r="C105" s="265"/>
      <c r="D105" s="275"/>
      <c r="E105" s="266"/>
      <c r="F105" s="265"/>
      <c r="G105" s="275"/>
      <c r="H105" s="311"/>
    </row>
    <row r="106" spans="1:9" ht="25.5">
      <c r="B106" s="240" t="s">
        <v>76</v>
      </c>
      <c r="C106" s="238"/>
      <c r="D106" s="227"/>
      <c r="E106" s="239"/>
      <c r="F106" s="238"/>
      <c r="G106" s="227"/>
      <c r="H106" s="309"/>
    </row>
    <row r="107" spans="1:9">
      <c r="B107" s="264"/>
      <c r="C107" s="238"/>
      <c r="D107" s="227"/>
      <c r="E107" s="239"/>
      <c r="F107" s="238"/>
      <c r="G107" s="227"/>
      <c r="H107" s="309"/>
    </row>
    <row r="108" spans="1:9">
      <c r="A108" s="1263">
        <v>20</v>
      </c>
      <c r="B108" s="237" t="s">
        <v>77</v>
      </c>
      <c r="C108" s="238">
        <f>'Structured education unit costs'!$B$202/2</f>
        <v>2780.9381053268767</v>
      </c>
      <c r="D108" s="227">
        <v>24</v>
      </c>
      <c r="E108" s="239">
        <f>$C$108*$D$108</f>
        <v>66742.514527845036</v>
      </c>
      <c r="F108" s="324">
        <f>'Structured education unit costs'!$B$202/2</f>
        <v>2780.9381053268767</v>
      </c>
      <c r="G108" s="310">
        <f>IF($F$5="Borders",0,IF($F$5="Greater Glasgow &amp; Clyde",4,IF($F$5="Lothian",4,IF($F$5="Orkney",0,IF($F$5="Shetland",0,IF($F$5="Western Isles",0,2))))))</f>
        <v>2</v>
      </c>
      <c r="H108" s="239">
        <f>$F$108*$G$108</f>
        <v>5561.8762106537533</v>
      </c>
    </row>
    <row r="109" spans="1:9" ht="14.25" customHeight="1">
      <c r="A109" s="1263">
        <v>21</v>
      </c>
      <c r="B109" s="237" t="s">
        <v>507</v>
      </c>
      <c r="C109" s="265"/>
      <c r="D109" s="227">
        <v>540</v>
      </c>
      <c r="E109" s="266"/>
      <c r="F109" s="164"/>
      <c r="G109" s="299">
        <f>$G$108*'Structured education unit costs'!$B$187*'Structured education unit costs'!$B$191</f>
        <v>45</v>
      </c>
      <c r="H109" s="309"/>
    </row>
    <row r="110" spans="1:9">
      <c r="B110" s="237" t="s">
        <v>506</v>
      </c>
      <c r="C110" s="238">
        <f>'Structured education unit costs'!$B$202</f>
        <v>5561.8762106537533</v>
      </c>
      <c r="D110" s="227"/>
      <c r="E110" s="239"/>
      <c r="F110" s="324">
        <f>'Structured education unit costs'!$B$202</f>
        <v>5561.8762106537533</v>
      </c>
      <c r="G110" s="66"/>
      <c r="H110" s="309"/>
    </row>
    <row r="111" spans="1:9">
      <c r="B111" s="240" t="s">
        <v>846</v>
      </c>
      <c r="C111" s="245"/>
      <c r="D111" s="228"/>
      <c r="E111" s="261">
        <f>($D$108*$C$110)/2</f>
        <v>66742.514527845036</v>
      </c>
      <c r="F111" s="166"/>
      <c r="G111" s="67"/>
      <c r="H111" s="306">
        <f>$F$86*$G$84/2</f>
        <v>16596.00774818402</v>
      </c>
    </row>
    <row r="112" spans="1:9">
      <c r="B112" s="274"/>
      <c r="C112" s="265"/>
      <c r="D112" s="275"/>
      <c r="E112" s="266"/>
      <c r="F112" s="164"/>
      <c r="G112" s="6"/>
      <c r="H112" s="311"/>
    </row>
    <row r="113" spans="1:8">
      <c r="B113" s="240" t="s">
        <v>847</v>
      </c>
      <c r="C113" s="265"/>
      <c r="D113" s="275"/>
      <c r="E113" s="266"/>
      <c r="F113" s="165"/>
      <c r="G113" s="66"/>
      <c r="H113" s="309"/>
    </row>
    <row r="114" spans="1:8">
      <c r="B114" s="240"/>
      <c r="C114" s="265"/>
      <c r="D114" s="275"/>
      <c r="E114" s="266"/>
      <c r="F114" s="166"/>
      <c r="G114" s="67"/>
      <c r="H114" s="312"/>
    </row>
    <row r="115" spans="1:8">
      <c r="A115" s="1263">
        <v>22</v>
      </c>
      <c r="B115" s="237" t="s">
        <v>582</v>
      </c>
      <c r="C115" s="259">
        <f>'Structured education unit costs'!$B$227</f>
        <v>2371.5719564164647</v>
      </c>
      <c r="D115" s="227">
        <f>$D$104</f>
        <v>169.66666666666666</v>
      </c>
      <c r="E115" s="239">
        <f>$C$115*$D$115</f>
        <v>402376.70860532683</v>
      </c>
      <c r="F115" s="325">
        <f>'Structured education unit costs'!$B$227</f>
        <v>2371.5719564164647</v>
      </c>
      <c r="G115" s="298">
        <f>IF($F$5="Borders",0,IF($F$5="Lothian",$G$104+4,IF($F$5="Orkney",0,IF($F$5="Shetland",0,IF($F$5="Western Isles",0,$G$104)))))</f>
        <v>0</v>
      </c>
      <c r="H115" s="306">
        <f>$F$115*$G$115</f>
        <v>0</v>
      </c>
    </row>
    <row r="116" spans="1:8" ht="25.5">
      <c r="A116" s="1263">
        <v>23</v>
      </c>
      <c r="B116" s="237" t="s">
        <v>853</v>
      </c>
      <c r="C116" s="259"/>
      <c r="D116" s="260">
        <f>($D$115*'Structured education unit costs'!$B$205*'Structured education unit costs'!$B$206)*'Structured education unit costs'!$B$102</f>
        <v>2494.1</v>
      </c>
      <c r="E116" s="239"/>
      <c r="F116" s="259"/>
      <c r="G116" s="298">
        <f>($G$115*'Structured education unit costs'!$B$205*'Structured education unit costs'!$B$206)*'Structured education unit costs'!$B$102</f>
        <v>0</v>
      </c>
      <c r="H116" s="306"/>
    </row>
    <row r="117" spans="1:8" ht="25.5">
      <c r="B117" s="237" t="s">
        <v>854</v>
      </c>
      <c r="C117" s="259"/>
      <c r="D117" s="260">
        <f>($D$115*'Structured education unit costs'!$B$205*'Structured education unit costs'!$B$206)*'Structured education unit costs'!$B$103</f>
        <v>1068.8999999999999</v>
      </c>
      <c r="E117" s="239"/>
      <c r="F117" s="259"/>
      <c r="G117" s="298">
        <f>($G$115*'Structured education unit costs'!$B$205*'Structured education unit costs'!$B$206)*'Structured education unit costs'!$B$103</f>
        <v>0</v>
      </c>
      <c r="H117" s="306"/>
    </row>
    <row r="118" spans="1:8" ht="25.5">
      <c r="B118" s="237" t="s">
        <v>855</v>
      </c>
      <c r="C118" s="265"/>
      <c r="D118" s="260">
        <f>$D$116+$D$117</f>
        <v>3563</v>
      </c>
      <c r="E118" s="239"/>
      <c r="F118" s="259"/>
      <c r="G118" s="298">
        <f>$G$116+$G$117</f>
        <v>0</v>
      </c>
      <c r="H118" s="311"/>
    </row>
    <row r="119" spans="1:8">
      <c r="A119" s="1263">
        <v>24</v>
      </c>
      <c r="B119" s="237" t="s">
        <v>590</v>
      </c>
      <c r="C119" s="265"/>
      <c r="D119" s="260">
        <f>$D$115*'Structured education unit costs'!$B$212*'Structured education unit costs'!$B$213+'STEP 2. Education'!$D$115*'Structured education unit costs'!$B$214*'Structured education unit costs'!$B$215</f>
        <v>6871.5</v>
      </c>
      <c r="E119" s="239"/>
      <c r="F119" s="259"/>
      <c r="G119" s="298">
        <f>$G$115*'Structured education unit costs'!$B$212*'Structured education unit costs'!$B$213+'STEP 2. Education'!$G$115*'Structured education unit costs'!$B$214*'Structured education unit costs'!$B$215</f>
        <v>0</v>
      </c>
      <c r="H119" s="306"/>
    </row>
    <row r="120" spans="1:8">
      <c r="B120" s="284"/>
      <c r="C120" s="265"/>
      <c r="D120" s="263"/>
      <c r="E120" s="239"/>
      <c r="F120" s="259"/>
      <c r="G120" s="260"/>
      <c r="H120" s="306"/>
    </row>
    <row r="121" spans="1:8" ht="25.5">
      <c r="B121" s="240" t="s">
        <v>591</v>
      </c>
      <c r="C121" s="245"/>
      <c r="D121" s="228">
        <f>$D$109+$D$118+$D$119</f>
        <v>10974.5</v>
      </c>
      <c r="E121" s="241"/>
      <c r="F121" s="245"/>
      <c r="G121" s="228">
        <f>$G$109+$G$118+$G$119</f>
        <v>45</v>
      </c>
      <c r="H121" s="312"/>
    </row>
    <row r="122" spans="1:8" ht="26.25" thickBot="1">
      <c r="B122" s="276" t="s">
        <v>589</v>
      </c>
      <c r="C122" s="277"/>
      <c r="D122" s="278"/>
      <c r="E122" s="279">
        <f>$E$111+$E$115</f>
        <v>469119.22313317185</v>
      </c>
      <c r="F122" s="277"/>
      <c r="G122" s="278"/>
      <c r="H122" s="307">
        <f>$H$111+$H$115</f>
        <v>16596.00774818402</v>
      </c>
    </row>
    <row r="123" spans="1:8" ht="26.25" thickTop="1">
      <c r="B123" s="285" t="s">
        <v>852</v>
      </c>
      <c r="C123" s="286"/>
      <c r="D123" s="287">
        <f>$D$73+$D$97+$D$121</f>
        <v>21354.5</v>
      </c>
      <c r="E123" s="288"/>
      <c r="F123" s="326"/>
      <c r="G123" s="287">
        <f>$G$73+$G$97+$G$121</f>
        <v>345</v>
      </c>
      <c r="H123" s="320"/>
    </row>
    <row r="124" spans="1:8">
      <c r="B124" s="233" t="s">
        <v>856</v>
      </c>
      <c r="C124" s="289"/>
      <c r="D124" s="290">
        <f>$D$68+$D$92+$D$116</f>
        <v>6935.6</v>
      </c>
      <c r="E124" s="291"/>
      <c r="F124" s="327"/>
      <c r="G124" s="290">
        <f>$G$68+$G$92+$G$116</f>
        <v>0</v>
      </c>
      <c r="H124" s="321"/>
    </row>
    <row r="125" spans="1:8">
      <c r="B125" s="233" t="s">
        <v>857</v>
      </c>
      <c r="C125" s="289"/>
      <c r="D125" s="290">
        <f>$D$69+$D$93+$D$117</f>
        <v>2972.3999999999996</v>
      </c>
      <c r="E125" s="291"/>
      <c r="F125" s="327"/>
      <c r="G125" s="290">
        <f>$G$69+$G$93+$G$117</f>
        <v>0</v>
      </c>
      <c r="H125" s="321"/>
    </row>
    <row r="126" spans="1:8">
      <c r="B126" s="233" t="s">
        <v>858</v>
      </c>
      <c r="C126" s="292"/>
      <c r="D126" s="290">
        <f>$D$71+$D$95+$D$119</f>
        <v>8986.5</v>
      </c>
      <c r="E126" s="236"/>
      <c r="F126" s="328"/>
      <c r="G126" s="290">
        <f>$G$71+$G$95+$G$119</f>
        <v>0</v>
      </c>
      <c r="H126" s="322"/>
    </row>
    <row r="127" spans="1:8" ht="15.75">
      <c r="B127" s="255" t="s">
        <v>0</v>
      </c>
      <c r="C127" s="292"/>
      <c r="D127" s="293"/>
      <c r="E127" s="291">
        <f>$E$63+$E$87+$E$108</f>
        <v>188158.57651331718</v>
      </c>
      <c r="F127" s="328"/>
      <c r="G127" s="293"/>
      <c r="H127" s="321">
        <f>$H$63+$H$87+$H$108</f>
        <v>25360.885895883781</v>
      </c>
    </row>
    <row r="128" spans="1:8" ht="16.5" thickBot="1">
      <c r="B128" s="294" t="s">
        <v>1</v>
      </c>
      <c r="C128" s="295"/>
      <c r="D128" s="296"/>
      <c r="E128" s="297">
        <f>$E$67+$E$91+$E$115</f>
        <v>713967.01298789342</v>
      </c>
      <c r="F128" s="329"/>
      <c r="G128" s="296"/>
      <c r="H128" s="323">
        <f>$H$67+$H$91+$H$115</f>
        <v>0</v>
      </c>
    </row>
    <row r="129" spans="1:8" ht="15.75" thickTop="1">
      <c r="D129" s="149"/>
      <c r="E129" s="162"/>
      <c r="F129" s="162"/>
      <c r="G129" s="149"/>
      <c r="H129" s="162"/>
    </row>
    <row r="130" spans="1:8">
      <c r="A130" s="1261" t="s">
        <v>151</v>
      </c>
      <c r="B130" s="1249" t="s">
        <v>152</v>
      </c>
      <c r="D130" s="149"/>
      <c r="E130" s="162"/>
      <c r="F130" s="162"/>
      <c r="G130" s="149"/>
      <c r="H130" s="162"/>
    </row>
    <row r="131" spans="1:8" s="1250" customFormat="1" ht="47.1" customHeight="1">
      <c r="A131" s="1253">
        <v>1</v>
      </c>
      <c r="B131" s="1349" t="s">
        <v>184</v>
      </c>
      <c r="C131" s="1351"/>
      <c r="D131" s="1351"/>
      <c r="E131" s="1351"/>
      <c r="F131" s="1351"/>
      <c r="G131" s="1351"/>
      <c r="H131" s="1351"/>
    </row>
    <row r="132" spans="1:8" s="1250" customFormat="1" ht="25.5" customHeight="1">
      <c r="A132" s="1253">
        <v>2</v>
      </c>
      <c r="B132" s="1262" t="s">
        <v>185</v>
      </c>
      <c r="C132" s="162"/>
      <c r="D132" s="149"/>
      <c r="E132" s="162"/>
      <c r="F132" s="162"/>
      <c r="G132" s="149"/>
      <c r="H132" s="162"/>
    </row>
    <row r="133" spans="1:8" s="1250" customFormat="1" ht="39.75" customHeight="1">
      <c r="A133" s="1253">
        <v>3</v>
      </c>
      <c r="B133" s="1338" t="s">
        <v>187</v>
      </c>
      <c r="C133" s="1338"/>
      <c r="D133" s="1338"/>
      <c r="E133" s="1338"/>
      <c r="F133" s="1338"/>
      <c r="G133" s="1338"/>
      <c r="H133" s="1338"/>
    </row>
    <row r="134" spans="1:8" s="1250" customFormat="1" ht="24" customHeight="1">
      <c r="A134" s="1253">
        <v>4</v>
      </c>
      <c r="B134" s="1341" t="s">
        <v>188</v>
      </c>
      <c r="C134" s="1342"/>
      <c r="D134" s="1342"/>
      <c r="E134" s="1342"/>
      <c r="F134" s="1342"/>
      <c r="G134" s="1342"/>
      <c r="H134" s="1342"/>
    </row>
    <row r="135" spans="1:8" s="1250" customFormat="1" ht="36.75" customHeight="1">
      <c r="A135" s="1253">
        <v>5</v>
      </c>
      <c r="B135" s="1341" t="s">
        <v>195</v>
      </c>
      <c r="C135" s="1342"/>
      <c r="D135" s="1342"/>
      <c r="E135" s="1342"/>
      <c r="F135" s="1342"/>
      <c r="G135" s="1342"/>
      <c r="H135" s="1342"/>
    </row>
    <row r="136" spans="1:8" s="1250" customFormat="1" ht="38.25" customHeight="1">
      <c r="A136" s="1253">
        <v>6</v>
      </c>
      <c r="B136" s="1338" t="s">
        <v>199</v>
      </c>
      <c r="C136" s="1338"/>
      <c r="D136" s="1338"/>
      <c r="E136" s="1338"/>
      <c r="F136" s="1338"/>
      <c r="G136" s="1338"/>
      <c r="H136" s="1338"/>
    </row>
    <row r="137" spans="1:8" s="1250" customFormat="1" ht="25.5" customHeight="1">
      <c r="A137" s="1253">
        <v>7</v>
      </c>
      <c r="B137" s="1338" t="s">
        <v>190</v>
      </c>
      <c r="C137" s="1338"/>
      <c r="D137" s="1338"/>
      <c r="E137" s="1338"/>
      <c r="F137" s="1338"/>
      <c r="G137" s="1338"/>
      <c r="H137" s="1338"/>
    </row>
    <row r="138" spans="1:8" s="1250" customFormat="1" ht="22.5" customHeight="1">
      <c r="A138" s="1253">
        <v>8</v>
      </c>
      <c r="B138" s="1341" t="s">
        <v>191</v>
      </c>
      <c r="C138" s="1342"/>
      <c r="D138" s="1342"/>
      <c r="E138" s="1342"/>
      <c r="F138" s="1342"/>
      <c r="G138" s="1342"/>
      <c r="H138" s="1342"/>
    </row>
    <row r="139" spans="1:8" s="1250" customFormat="1" ht="24.75" customHeight="1">
      <c r="A139" s="1253">
        <v>9</v>
      </c>
      <c r="B139" s="1339" t="s">
        <v>888</v>
      </c>
      <c r="C139" s="1340"/>
      <c r="D139" s="1340"/>
      <c r="E139" s="1340"/>
      <c r="F139" s="1340"/>
      <c r="G139" s="1340"/>
      <c r="H139" s="1340"/>
    </row>
    <row r="140" spans="1:8" s="1250" customFormat="1" ht="51.75" customHeight="1">
      <c r="A140" s="1253">
        <v>10</v>
      </c>
      <c r="B140" s="1341" t="s">
        <v>192</v>
      </c>
      <c r="C140" s="1342"/>
      <c r="D140" s="1342"/>
      <c r="E140" s="1342"/>
      <c r="F140" s="1342"/>
      <c r="G140" s="1342"/>
      <c r="H140" s="1342"/>
    </row>
    <row r="141" spans="1:8" s="1250" customFormat="1" ht="24.75" customHeight="1">
      <c r="A141" s="1253">
        <v>11</v>
      </c>
      <c r="B141" s="1338" t="s">
        <v>193</v>
      </c>
      <c r="C141" s="1338"/>
      <c r="D141" s="1338"/>
      <c r="E141" s="1338"/>
      <c r="F141" s="1338"/>
      <c r="G141" s="1338"/>
      <c r="H141" s="1338"/>
    </row>
    <row r="142" spans="1:8" s="1250" customFormat="1" ht="31.5" customHeight="1">
      <c r="A142" s="1253">
        <v>12</v>
      </c>
      <c r="B142" s="1341" t="s">
        <v>194</v>
      </c>
      <c r="C142" s="1342"/>
      <c r="D142" s="1342"/>
      <c r="E142" s="1342"/>
      <c r="F142" s="1342"/>
      <c r="G142" s="1342"/>
      <c r="H142" s="1342"/>
    </row>
    <row r="143" spans="1:8" s="1250" customFormat="1" ht="33" customHeight="1">
      <c r="A143" s="1253">
        <v>13</v>
      </c>
      <c r="B143" s="1349" t="s">
        <v>196</v>
      </c>
      <c r="C143" s="1350"/>
      <c r="D143" s="1350"/>
      <c r="E143" s="1350"/>
      <c r="F143" s="1350"/>
      <c r="G143" s="1350"/>
      <c r="H143" s="1350"/>
    </row>
    <row r="144" spans="1:8" s="1250" customFormat="1" ht="22.5" customHeight="1">
      <c r="A144" s="1253">
        <v>14</v>
      </c>
      <c r="B144" s="1338" t="s">
        <v>197</v>
      </c>
      <c r="C144" s="1338"/>
      <c r="D144" s="1338"/>
      <c r="E144" s="1338"/>
      <c r="F144" s="1338"/>
      <c r="G144" s="1338"/>
      <c r="H144" s="1338"/>
    </row>
    <row r="145" spans="1:8" s="1250" customFormat="1">
      <c r="A145" s="1253">
        <v>15</v>
      </c>
      <c r="B145" s="1341" t="s">
        <v>191</v>
      </c>
      <c r="C145" s="1342"/>
      <c r="D145" s="1342"/>
      <c r="E145" s="1342"/>
      <c r="F145" s="1342"/>
      <c r="G145" s="1342"/>
      <c r="H145" s="1342"/>
    </row>
    <row r="146" spans="1:8" s="1250" customFormat="1" ht="21" customHeight="1">
      <c r="A146" s="1253">
        <v>16</v>
      </c>
      <c r="B146" s="1339" t="s">
        <v>198</v>
      </c>
      <c r="C146" s="1340"/>
      <c r="D146" s="1340"/>
      <c r="E146" s="1340"/>
      <c r="F146" s="1340"/>
      <c r="G146" s="1340"/>
      <c r="H146" s="1340"/>
    </row>
    <row r="147" spans="1:8" s="1250" customFormat="1" ht="65.25" customHeight="1">
      <c r="A147" s="1253">
        <v>17</v>
      </c>
      <c r="B147" s="1341" t="s">
        <v>200</v>
      </c>
      <c r="C147" s="1342"/>
      <c r="D147" s="1342"/>
      <c r="E147" s="1342"/>
      <c r="F147" s="1342"/>
      <c r="G147" s="1342"/>
      <c r="H147" s="1342"/>
    </row>
    <row r="148" spans="1:8" s="1250" customFormat="1" ht="23.25" customHeight="1">
      <c r="A148" s="1253">
        <v>18</v>
      </c>
      <c r="B148" s="1338" t="s">
        <v>193</v>
      </c>
      <c r="C148" s="1338"/>
      <c r="D148" s="1338"/>
      <c r="E148" s="1338"/>
      <c r="F148" s="1338"/>
      <c r="G148" s="1338"/>
      <c r="H148" s="1338"/>
    </row>
    <row r="149" spans="1:8" s="1250" customFormat="1" ht="34.5" customHeight="1">
      <c r="A149" s="1253">
        <v>19</v>
      </c>
      <c r="B149" s="1341" t="s">
        <v>202</v>
      </c>
      <c r="C149" s="1342"/>
      <c r="D149" s="1342"/>
      <c r="E149" s="1342"/>
      <c r="F149" s="1342"/>
      <c r="G149" s="1342"/>
      <c r="H149" s="1342"/>
    </row>
    <row r="150" spans="1:8" s="1250" customFormat="1" ht="36.75" customHeight="1">
      <c r="A150" s="1253">
        <v>20</v>
      </c>
      <c r="B150" s="1338" t="s">
        <v>199</v>
      </c>
      <c r="C150" s="1338"/>
      <c r="D150" s="1338"/>
      <c r="E150" s="1338"/>
      <c r="F150" s="1338"/>
      <c r="G150" s="1338"/>
      <c r="H150" s="1338"/>
    </row>
    <row r="151" spans="1:8" s="1250" customFormat="1" ht="24.75" customHeight="1">
      <c r="A151" s="1253">
        <v>21</v>
      </c>
      <c r="B151" s="1338" t="s">
        <v>203</v>
      </c>
      <c r="C151" s="1338"/>
      <c r="D151" s="1338"/>
      <c r="E151" s="1338"/>
      <c r="F151" s="1338"/>
      <c r="G151" s="1338"/>
      <c r="H151" s="1338"/>
    </row>
    <row r="152" spans="1:8" s="1250" customFormat="1" ht="28.5" customHeight="1">
      <c r="A152" s="1253">
        <v>22</v>
      </c>
      <c r="B152" s="1343" t="s">
        <v>198</v>
      </c>
      <c r="C152" s="1342"/>
      <c r="D152" s="1342"/>
      <c r="E152" s="1342"/>
      <c r="F152" s="1342"/>
      <c r="G152" s="1342"/>
      <c r="H152" s="1342"/>
    </row>
    <row r="153" spans="1:8" ht="27.75" customHeight="1">
      <c r="A153" s="1264">
        <v>23</v>
      </c>
      <c r="B153" s="1338" t="s">
        <v>204</v>
      </c>
      <c r="C153" s="1338"/>
      <c r="D153" s="1338"/>
      <c r="E153" s="1338"/>
      <c r="F153" s="1338"/>
      <c r="G153" s="1338"/>
      <c r="H153" s="1338"/>
    </row>
    <row r="154" spans="1:8">
      <c r="A154" s="1264">
        <v>24</v>
      </c>
      <c r="B154" s="1338" t="s">
        <v>205</v>
      </c>
      <c r="C154" s="1338"/>
      <c r="D154" s="1338"/>
      <c r="E154" s="1338"/>
      <c r="F154" s="1338"/>
      <c r="G154" s="1338"/>
      <c r="H154" s="1338"/>
    </row>
    <row r="155" spans="1:8">
      <c r="A155" s="1264"/>
      <c r="B155" s="1265"/>
      <c r="C155" s="1266"/>
      <c r="D155" s="1267"/>
      <c r="E155" s="1266"/>
      <c r="F155" s="1266"/>
      <c r="G155" s="1267"/>
      <c r="H155" s="1266"/>
    </row>
    <row r="156" spans="1:8">
      <c r="A156" s="1264"/>
      <c r="B156" s="1265"/>
      <c r="C156" s="1266"/>
      <c r="D156" s="1267"/>
      <c r="E156" s="1266"/>
      <c r="F156" s="1266"/>
      <c r="G156" s="1267"/>
      <c r="H156" s="1266"/>
    </row>
    <row r="157" spans="1:8">
      <c r="A157" s="1264"/>
      <c r="B157" s="1265"/>
      <c r="C157" s="1266"/>
      <c r="D157" s="1267"/>
      <c r="E157" s="1266"/>
      <c r="F157" s="1266"/>
      <c r="G157" s="1267"/>
      <c r="H157" s="1266"/>
    </row>
    <row r="158" spans="1:8">
      <c r="A158" s="1264"/>
      <c r="B158" s="1265"/>
      <c r="C158" s="1266"/>
      <c r="D158" s="1267"/>
      <c r="E158" s="1266"/>
      <c r="F158" s="1266"/>
      <c r="G158" s="1267"/>
      <c r="H158" s="1266"/>
    </row>
    <row r="159" spans="1:8">
      <c r="A159" s="1264"/>
      <c r="B159" s="1265"/>
      <c r="C159" s="1266"/>
      <c r="D159" s="1267"/>
      <c r="E159" s="1266"/>
      <c r="F159" s="1266"/>
      <c r="G159" s="1267"/>
      <c r="H159" s="1266"/>
    </row>
    <row r="160" spans="1:8">
      <c r="A160" s="1264"/>
      <c r="B160" s="1265"/>
      <c r="C160" s="1266"/>
      <c r="D160" s="1267"/>
      <c r="E160" s="1266"/>
      <c r="F160" s="1266"/>
      <c r="G160" s="1267"/>
      <c r="H160" s="1266"/>
    </row>
    <row r="161" spans="1:8">
      <c r="A161" s="1264"/>
      <c r="B161" s="1265"/>
      <c r="C161" s="1266"/>
      <c r="D161" s="1267"/>
      <c r="E161" s="1266"/>
      <c r="F161" s="1266"/>
      <c r="G161" s="1267"/>
      <c r="H161" s="1266"/>
    </row>
    <row r="162" spans="1:8">
      <c r="A162" s="1264"/>
      <c r="B162" s="1265"/>
      <c r="C162" s="1266"/>
      <c r="D162" s="1267"/>
      <c r="E162" s="1266"/>
      <c r="F162" s="1266"/>
      <c r="G162" s="1267"/>
      <c r="H162" s="1266"/>
    </row>
    <row r="163" spans="1:8">
      <c r="A163" s="1264"/>
      <c r="B163" s="1265"/>
      <c r="C163" s="1266"/>
      <c r="D163" s="1267"/>
      <c r="E163" s="1266"/>
      <c r="F163" s="1266"/>
      <c r="G163" s="1267"/>
      <c r="H163" s="1266"/>
    </row>
    <row r="164" spans="1:8">
      <c r="A164" s="1264"/>
      <c r="B164" s="1265"/>
      <c r="C164" s="1266"/>
      <c r="D164" s="1267"/>
      <c r="E164" s="1266"/>
      <c r="F164" s="1266"/>
      <c r="G164" s="1267"/>
      <c r="H164" s="1266"/>
    </row>
    <row r="165" spans="1:8">
      <c r="A165" s="1264"/>
      <c r="B165" s="1265"/>
      <c r="C165" s="1266"/>
      <c r="D165" s="1267"/>
      <c r="E165" s="1266"/>
      <c r="F165" s="1266"/>
      <c r="G165" s="1267"/>
      <c r="H165" s="1266"/>
    </row>
    <row r="166" spans="1:8">
      <c r="A166" s="1264"/>
      <c r="B166" s="1265"/>
      <c r="C166" s="1266"/>
      <c r="D166" s="1267"/>
      <c r="E166" s="1266"/>
      <c r="F166" s="1266"/>
      <c r="G166" s="1267"/>
      <c r="H166" s="1266"/>
    </row>
    <row r="167" spans="1:8">
      <c r="A167" s="1264"/>
      <c r="B167" s="1265"/>
      <c r="C167" s="1266"/>
      <c r="D167" s="1267"/>
      <c r="E167" s="1266"/>
      <c r="F167" s="1266"/>
      <c r="G167" s="1267"/>
      <c r="H167" s="1266"/>
    </row>
    <row r="168" spans="1:8">
      <c r="A168" s="1264"/>
      <c r="B168" s="1265"/>
      <c r="C168" s="1266"/>
      <c r="D168" s="1267"/>
      <c r="E168" s="1266"/>
      <c r="F168" s="1266"/>
      <c r="G168" s="1267"/>
      <c r="H168" s="1266"/>
    </row>
    <row r="169" spans="1:8">
      <c r="A169" s="1264"/>
      <c r="B169" s="1265"/>
      <c r="C169" s="1266"/>
      <c r="D169" s="1267"/>
      <c r="E169" s="1266"/>
      <c r="F169" s="1266"/>
      <c r="G169" s="1267"/>
      <c r="H169" s="1266"/>
    </row>
    <row r="170" spans="1:8">
      <c r="A170" s="1264"/>
      <c r="B170" s="1265"/>
      <c r="C170" s="1266"/>
      <c r="D170" s="1267"/>
      <c r="E170" s="1266"/>
      <c r="F170" s="1266"/>
      <c r="G170" s="1267"/>
      <c r="H170" s="1266"/>
    </row>
    <row r="171" spans="1:8">
      <c r="A171" s="1264"/>
      <c r="B171" s="1265"/>
      <c r="C171" s="1266"/>
      <c r="D171" s="1267"/>
      <c r="E171" s="1266"/>
      <c r="F171" s="1266"/>
      <c r="G171" s="1267"/>
      <c r="H171" s="1266"/>
    </row>
    <row r="172" spans="1:8">
      <c r="A172" s="1264"/>
      <c r="B172" s="1265"/>
      <c r="C172" s="1266"/>
      <c r="D172" s="1267"/>
      <c r="E172" s="1266"/>
      <c r="F172" s="1266"/>
      <c r="G172" s="1267"/>
      <c r="H172" s="1266"/>
    </row>
    <row r="173" spans="1:8">
      <c r="A173" s="1264"/>
      <c r="B173" s="1265"/>
      <c r="C173" s="1266"/>
      <c r="D173" s="1267"/>
      <c r="E173" s="1266"/>
      <c r="F173" s="1266"/>
      <c r="G173" s="1267"/>
      <c r="H173" s="1266"/>
    </row>
    <row r="174" spans="1:8">
      <c r="A174" s="1264"/>
      <c r="B174" s="1265"/>
      <c r="C174" s="1266"/>
      <c r="D174" s="1267"/>
      <c r="E174" s="1266"/>
      <c r="F174" s="1266"/>
      <c r="G174" s="1267"/>
      <c r="H174" s="1266"/>
    </row>
    <row r="175" spans="1:8">
      <c r="A175" s="1264"/>
      <c r="B175" s="1265"/>
      <c r="C175" s="1266"/>
      <c r="D175" s="1267"/>
      <c r="E175" s="1266"/>
      <c r="F175" s="1266"/>
      <c r="G175" s="1267"/>
      <c r="H175" s="1266"/>
    </row>
    <row r="176" spans="1:8">
      <c r="A176" s="1264"/>
      <c r="B176" s="1265"/>
      <c r="C176" s="1266"/>
      <c r="D176" s="1267"/>
      <c r="E176" s="1266"/>
      <c r="F176" s="1266"/>
      <c r="G176" s="1267"/>
      <c r="H176" s="1266"/>
    </row>
    <row r="177" spans="1:8">
      <c r="A177" s="1264"/>
      <c r="B177" s="1265"/>
      <c r="C177" s="1266"/>
      <c r="D177" s="1267"/>
      <c r="E177" s="1266"/>
      <c r="F177" s="1266"/>
      <c r="G177" s="1267"/>
      <c r="H177" s="1266"/>
    </row>
    <row r="178" spans="1:8">
      <c r="A178" s="1264"/>
      <c r="B178" s="1265"/>
      <c r="C178" s="1266"/>
      <c r="D178" s="1267"/>
      <c r="E178" s="1266"/>
      <c r="F178" s="1266"/>
      <c r="G178" s="1267"/>
      <c r="H178" s="1266"/>
    </row>
    <row r="179" spans="1:8">
      <c r="A179" s="1264"/>
      <c r="B179" s="1265"/>
      <c r="C179" s="1266"/>
      <c r="D179" s="1267"/>
      <c r="E179" s="1266"/>
      <c r="F179" s="1266"/>
      <c r="G179" s="1267"/>
      <c r="H179" s="1266"/>
    </row>
    <row r="180" spans="1:8">
      <c r="A180" s="1264"/>
      <c r="B180" s="1265"/>
      <c r="C180" s="1266"/>
      <c r="D180" s="1267"/>
      <c r="E180" s="1266"/>
      <c r="F180" s="1266"/>
      <c r="G180" s="1267"/>
      <c r="H180" s="1266"/>
    </row>
    <row r="181" spans="1:8">
      <c r="A181" s="1264"/>
      <c r="B181" s="1265"/>
      <c r="C181" s="1266"/>
      <c r="D181" s="1267"/>
      <c r="E181" s="1266"/>
      <c r="F181" s="1266"/>
      <c r="G181" s="1267"/>
      <c r="H181" s="1266"/>
    </row>
    <row r="182" spans="1:8">
      <c r="A182" s="1264"/>
      <c r="B182" s="1265"/>
      <c r="C182" s="1266"/>
      <c r="D182" s="1267"/>
      <c r="E182" s="1266"/>
      <c r="F182" s="1266"/>
      <c r="G182" s="1267"/>
      <c r="H182" s="1266"/>
    </row>
  </sheetData>
  <sheetProtection password="C7D8" sheet="1" objects="1" scenarios="1"/>
  <mergeCells count="26">
    <mergeCell ref="B153:H153"/>
    <mergeCell ref="B154:H154"/>
    <mergeCell ref="F7:H7"/>
    <mergeCell ref="A1:G1"/>
    <mergeCell ref="C5:E5"/>
    <mergeCell ref="B143:H143"/>
    <mergeCell ref="B131:H131"/>
    <mergeCell ref="B133:H133"/>
    <mergeCell ref="B134:H134"/>
    <mergeCell ref="B135:H135"/>
    <mergeCell ref="B151:H151"/>
    <mergeCell ref="B137:H137"/>
    <mergeCell ref="B138:H138"/>
    <mergeCell ref="B140:H140"/>
    <mergeCell ref="B141:H141"/>
    <mergeCell ref="B146:H146"/>
    <mergeCell ref="B136:H136"/>
    <mergeCell ref="B139:H139"/>
    <mergeCell ref="B142:H142"/>
    <mergeCell ref="B152:H152"/>
    <mergeCell ref="B144:H144"/>
    <mergeCell ref="B145:H145"/>
    <mergeCell ref="B147:H147"/>
    <mergeCell ref="B148:H148"/>
    <mergeCell ref="B149:H149"/>
    <mergeCell ref="B150:H150"/>
  </mergeCells>
  <phoneticPr fontId="4" type="noConversion"/>
  <dataValidations disablePrompts="1" count="2">
    <dataValidation allowBlank="1" showInputMessage="1" showErrorMessage="1" promptTitle="NHS board selected" prompt="'Select Health board' will change to NHS board selected in STEP 1.  Costs are based on the NHS board selected in step 1. " sqref="F5"/>
    <dataValidation allowBlank="1" showInputMessage="1" showErrorMessage="1" promptTitle="Notes" prompt="_x000a_Click on a number below to be provided with a information relating to the corresponding part of the model." sqref="A7"/>
  </dataValidations>
  <hyperlinks>
    <hyperlink ref="A11" location="'STEP 2. Education'!A131" display="'STEP 2. Education'!A131"/>
    <hyperlink ref="A15" location="'STEP 2. Education'!A132" display="'STEP 2. Education'!A132"/>
    <hyperlink ref="A23" location="'STEP 2. Education'!A133" display="'STEP 2. Education'!A133"/>
    <hyperlink ref="A41" location="'STEP 2. Education'!A134" display="'STEP 2. Education'!A134"/>
    <hyperlink ref="A53" location="'STEP 2. Education'!A135" display="'STEP 2. Education'!A135"/>
    <hyperlink ref="A60" location="'STEP 2. Education'!A136" display="'STEP 2. Education'!A136"/>
    <hyperlink ref="A61" location="'STEP 2. Education'!A137" display="'STEP 2. Education'!A137"/>
    <hyperlink ref="A62" location="'STEP 2. Education'!A138" display="'STEP 2. Education'!A138"/>
    <hyperlink ref="A68" location="'STEP 2. Education'!A140" display="'STEP 2. Education'!A140"/>
    <hyperlink ref="A71" location="'STEP 2. Education'!A141" display="'STEP 2. Education'!A141"/>
    <hyperlink ref="A77" location="'STEP 2. Education'!A142" display="'STEP 2. Education'!A142"/>
    <hyperlink ref="A84" location="'STEP 2. Education'!A143" display="'STEP 2. Education'!A143"/>
    <hyperlink ref="A85" location="'STEP 2. Education'!A144" display="'STEP 2. Education'!A144"/>
    <hyperlink ref="A86" location="'STEP 2. Education'!A145" display="'STEP 2. Education'!A145"/>
    <hyperlink ref="A67" location="'STEP 2. Education'!A139" display="'STEP 2. Education'!A139"/>
    <hyperlink ref="A91" location="'STEP 2. Education'!A146" display="'STEP 2. Education'!A146"/>
    <hyperlink ref="A92" location="'STEP 2. Education'!A147" display="'STEP 2. Education'!A147"/>
    <hyperlink ref="A95" location="'STEP 2. Education'!A148" display="'STEP 2. Education'!A148"/>
    <hyperlink ref="A101" location="'STEP 2. Education'!A149" display="'STEP 2. Education'!A149"/>
    <hyperlink ref="A108" location="'STEP 2. Education'!A150" display="'STEP 2. Education'!A150"/>
    <hyperlink ref="A109" location="'STEP 2. Education'!A151" display="'STEP 2. Education'!A151"/>
    <hyperlink ref="A115" location="'STEP 2. Education'!A152" display="'STEP 2. Education'!A152"/>
    <hyperlink ref="A116" location="'STEP 2. Education'!A153" display="'STEP 2. Education'!A153"/>
    <hyperlink ref="A119" location="'STEP 2. Education'!A154" display="'STEP 2. Education'!A154"/>
  </hyperlinks>
  <pageMargins left="0.74803149606299213" right="0.74803149606299213" top="0.98425196850393704" bottom="0.98425196850393704" header="0.51181102362204722" footer="0.51181102362204722"/>
  <pageSetup paperSize="8" scale="47" orientation="portrait" r:id="rId1"/>
  <headerFooter alignWithMargins="0"/>
  <ignoredErrors>
    <ignoredError sqref="F62 G11 F67:G67 F91 F110 F108 F115 F86 G54:G55 G115:G119 G108 G102:G103 G91:G95 G84:G85 G78:G79 G68:G71 G60:G61 G109 G43:G47 G41 G27:G34 G19:G24 G15 G13 G110:G114 G120:G122 G62:G66 G104:G107 G96:G101 G86:G90 G80:G83 G72:G77 G56:G59 G48:G53 G42 G35:G40 G25:G26 G16:G18 G12 G14" unlockedFormula="1"/>
  </ignoredErrors>
  <drawing r:id="rId2"/>
</worksheet>
</file>

<file path=xl/worksheets/sheet6.xml><?xml version="1.0" encoding="utf-8"?>
<worksheet xmlns="http://schemas.openxmlformats.org/spreadsheetml/2006/main" xmlns:r="http://schemas.openxmlformats.org/officeDocument/2006/relationships">
  <sheetPr codeName="Sheet11">
    <pageSetUpPr fitToPage="1"/>
  </sheetPr>
  <dimension ref="A1:H228"/>
  <sheetViews>
    <sheetView showGridLines="0" showRowColHeaders="0" workbookViewId="0">
      <selection activeCell="C26" sqref="C26"/>
    </sheetView>
  </sheetViews>
  <sheetFormatPr defaultRowHeight="12.75"/>
  <cols>
    <col min="1" max="1" width="29.5546875" style="20" customWidth="1"/>
    <col min="2" max="2" width="11.88671875" style="20" customWidth="1"/>
    <col min="3" max="3" width="9" style="20" bestFit="1" customWidth="1"/>
    <col min="4" max="4" width="11.21875" style="20" customWidth="1"/>
    <col min="5" max="5" width="7.44140625" style="20" bestFit="1" customWidth="1"/>
    <col min="6" max="16384" width="8.88671875" style="20"/>
  </cols>
  <sheetData>
    <row r="1" spans="1:6" ht="44.25" customHeight="1">
      <c r="A1" s="1168" t="s">
        <v>109</v>
      </c>
    </row>
    <row r="4" spans="1:6">
      <c r="A4" s="19" t="s">
        <v>595</v>
      </c>
    </row>
    <row r="5" spans="1:6" ht="13.5" thickBot="1">
      <c r="A5" s="19"/>
    </row>
    <row r="6" spans="1:6" s="27" customFormat="1" ht="17.25" thickTop="1" thickBot="1">
      <c r="A6" s="90" t="s">
        <v>680</v>
      </c>
      <c r="B6" s="1356" t="s">
        <v>520</v>
      </c>
      <c r="C6" s="1357"/>
      <c r="D6" s="92" t="s">
        <v>596</v>
      </c>
      <c r="E6" s="1356" t="s">
        <v>521</v>
      </c>
      <c r="F6" s="1357"/>
    </row>
    <row r="7" spans="1:6">
      <c r="A7" s="445" t="str">
        <f>'STEP 1.Select NHS Board'!A11</f>
        <v>Ayrshire &amp; Arran</v>
      </c>
      <c r="B7" s="912">
        <v>731</v>
      </c>
      <c r="C7" s="1293">
        <f>$B$7/$B$21</f>
        <v>8.0364995602462616E-2</v>
      </c>
      <c r="D7" s="913">
        <f>+(($B$26+$B$27+$B$28+($B$29/5))/$B$45)*$B$7</f>
        <v>58.822969269558222</v>
      </c>
      <c r="E7" s="912">
        <v>1814</v>
      </c>
      <c r="F7" s="1293">
        <f>$E$7/$E$21</f>
        <v>7.4853511595279365E-2</v>
      </c>
    </row>
    <row r="8" spans="1:6">
      <c r="A8" s="445" t="str">
        <f>'STEP 1.Select NHS Board'!A12</f>
        <v>Borders</v>
      </c>
      <c r="B8" s="912">
        <v>190</v>
      </c>
      <c r="C8" s="1293">
        <f>$B$8/$B$21</f>
        <v>2.0888302550571679E-2</v>
      </c>
      <c r="D8" s="298">
        <f>+(($B$26+$B$27+$B$28+($B$29/5))/$B$45)*$B$8</f>
        <v>15.289143859392698</v>
      </c>
      <c r="E8" s="912">
        <v>480</v>
      </c>
      <c r="F8" s="1293">
        <f>$E$8/$E$21</f>
        <v>1.9806882891804902E-2</v>
      </c>
    </row>
    <row r="9" spans="1:6">
      <c r="A9" s="445" t="str">
        <f>'STEP 1.Select NHS Board'!A13</f>
        <v>Dumfries &amp; Galloway</v>
      </c>
      <c r="B9" s="912">
        <v>264</v>
      </c>
      <c r="C9" s="1293">
        <f>$B$9/$B$21</f>
        <v>2.9023746701846966E-2</v>
      </c>
      <c r="D9" s="298">
        <f>+(($B$26+$B$27+$B$28+($B$29/5))/$B$45)*$B$9</f>
        <v>21.243863046735118</v>
      </c>
      <c r="E9" s="912">
        <v>714</v>
      </c>
      <c r="F9" s="1293">
        <f>$E$9/$E$21</f>
        <v>2.9462738301559793E-2</v>
      </c>
    </row>
    <row r="10" spans="1:6">
      <c r="A10" s="445" t="str">
        <f>'STEP 1.Select NHS Board'!A14</f>
        <v>Fife</v>
      </c>
      <c r="B10" s="912">
        <v>590</v>
      </c>
      <c r="C10" s="1293">
        <f>$B$10/$B$21</f>
        <v>6.4863676341248899E-2</v>
      </c>
      <c r="D10" s="298">
        <f>+(($B$26+$B$27+$B$28+($B$29/5))/$B$45)*$B$10</f>
        <v>47.476815142324696</v>
      </c>
      <c r="E10" s="912">
        <v>1456</v>
      </c>
      <c r="F10" s="1293">
        <f>$E$10/$E$21</f>
        <v>6.0080878105141539E-2</v>
      </c>
    </row>
    <row r="11" spans="1:6">
      <c r="A11" s="445" t="str">
        <f>'STEP 1.Select NHS Board'!A15</f>
        <v>Forth Valley</v>
      </c>
      <c r="B11" s="912">
        <v>559</v>
      </c>
      <c r="C11" s="1293">
        <f>$B$11/$B$21</f>
        <v>6.1455584872471415E-2</v>
      </c>
      <c r="D11" s="298">
        <f>+(($B$26+$B$27+$B$28+($B$29/5))/$B$45)*$B$11</f>
        <v>44.982270617897463</v>
      </c>
      <c r="E11" s="912">
        <v>1515</v>
      </c>
      <c r="F11" s="1293">
        <f>$E$11/$E$21</f>
        <v>6.2515474127259218E-2</v>
      </c>
    </row>
    <row r="12" spans="1:6">
      <c r="A12" s="445" t="str">
        <f>'STEP 1.Select NHS Board'!A16</f>
        <v>Grampian</v>
      </c>
      <c r="B12" s="912">
        <v>1179</v>
      </c>
      <c r="C12" s="1293">
        <f>$B$12/$B$21</f>
        <v>0.12961741424802112</v>
      </c>
      <c r="D12" s="298">
        <f>+(($B$26+$B$27+$B$28+($B$29/5))/$B$45)*$B$12</f>
        <v>94.873161106442055</v>
      </c>
      <c r="E12" s="912">
        <v>2583</v>
      </c>
      <c r="F12" s="1293">
        <f>$E$12/$E$21</f>
        <v>0.10658578856152513</v>
      </c>
    </row>
    <row r="13" spans="1:6">
      <c r="A13" s="445" t="str">
        <f>'STEP 1.Select NHS Board'!A17</f>
        <v>Greater Glasgow &amp; Clyde</v>
      </c>
      <c r="B13" s="912">
        <v>2011</v>
      </c>
      <c r="C13" s="1293">
        <f>$B$13/$B$21</f>
        <v>0.22108619173262972</v>
      </c>
      <c r="D13" s="298">
        <f>+(($B$26+$B$27+$B$28+($B$29/5))/$B$45)*$B$13</f>
        <v>161.82351737494062</v>
      </c>
      <c r="E13" s="912">
        <v>6297</v>
      </c>
      <c r="F13" s="1293">
        <f>$E$13/$E$21</f>
        <v>0.25984154493686556</v>
      </c>
    </row>
    <row r="14" spans="1:6">
      <c r="A14" s="445" t="str">
        <f>'STEP 1.Select NHS Board'!A18</f>
        <v>Highland</v>
      </c>
      <c r="B14" s="912">
        <v>528</v>
      </c>
      <c r="C14" s="1293">
        <f>$B$14/$B$21</f>
        <v>5.8047493403693931E-2</v>
      </c>
      <c r="D14" s="298">
        <f>+(($B$26+$B$27+$B$28+($B$29/5))/$B$45)*$B$14</f>
        <v>42.487726093470236</v>
      </c>
      <c r="E14" s="912">
        <v>1427</v>
      </c>
      <c r="F14" s="1293">
        <f>$E$14/$E$21</f>
        <v>5.8884212263761657E-2</v>
      </c>
    </row>
    <row r="15" spans="1:6">
      <c r="A15" s="445" t="str">
        <f>'STEP 1.Select NHS Board'!A19</f>
        <v>Lanarkshire</v>
      </c>
      <c r="B15" s="912">
        <v>1123</v>
      </c>
      <c r="C15" s="1293">
        <f>$B$15/$B$21</f>
        <v>0.1234608619173263</v>
      </c>
      <c r="D15" s="298">
        <f>+(($B$26+$B$27+$B$28+($B$29/5))/$B$45)*$B$15</f>
        <v>90.366887126831571</v>
      </c>
      <c r="E15" s="912">
        <v>2805</v>
      </c>
      <c r="F15" s="1293">
        <f>$E$15/$E$21</f>
        <v>0.1157464718989849</v>
      </c>
    </row>
    <row r="16" spans="1:6">
      <c r="A16" s="445" t="str">
        <f>'STEP 1.Select NHS Board'!A20</f>
        <v>Lothian</v>
      </c>
      <c r="B16" s="912">
        <v>1130</v>
      </c>
      <c r="C16" s="1293">
        <f>$B$16/$B$21</f>
        <v>0.12423043095866315</v>
      </c>
      <c r="D16" s="298">
        <f>+(($B$26+$B$27+$B$28+($B$29/5))/$B$45)*$B$16</f>
        <v>90.930171374282892</v>
      </c>
      <c r="E16" s="912">
        <v>2817</v>
      </c>
      <c r="F16" s="1293">
        <f>$E$16/$E$21</f>
        <v>0.11624164397128002</v>
      </c>
    </row>
    <row r="17" spans="1:6">
      <c r="A17" s="445" t="str">
        <f>'STEP 1.Select NHS Board'!A21</f>
        <v>Orkney</v>
      </c>
      <c r="B17" s="912">
        <v>30</v>
      </c>
      <c r="C17" s="1293">
        <f>$B$17/$B$21</f>
        <v>3.2981530343007917E-3</v>
      </c>
      <c r="D17" s="298">
        <f>+(($B$26+$B$27+$B$28+($B$29/5))/$B$45)*$B$17</f>
        <v>2.4140753462198998</v>
      </c>
      <c r="E17" s="912">
        <v>94</v>
      </c>
      <c r="F17" s="1293">
        <f>$E$17/$E$21</f>
        <v>3.8788478996451266E-3</v>
      </c>
    </row>
    <row r="18" spans="1:6">
      <c r="A18" s="445" t="str">
        <f>'STEP 1.Select NHS Board'!A22</f>
        <v>Shetland</v>
      </c>
      <c r="B18" s="912">
        <v>30</v>
      </c>
      <c r="C18" s="1293">
        <f>$B$18/$B$21</f>
        <v>3.2981530343007917E-3</v>
      </c>
      <c r="D18" s="298">
        <f>+(($B$26+$B$27+$B$28+($B$29/5))/$B$45)*$B$18</f>
        <v>2.4140753462198998</v>
      </c>
      <c r="E18" s="912">
        <v>92</v>
      </c>
      <c r="F18" s="1293">
        <f>$E$18/$E$21</f>
        <v>3.796319220929273E-3</v>
      </c>
    </row>
    <row r="19" spans="1:6">
      <c r="A19" s="445" t="str">
        <f>'STEP 1.Select NHS Board'!A23</f>
        <v>Tayside</v>
      </c>
      <c r="B19" s="912">
        <v>665</v>
      </c>
      <c r="C19" s="1293">
        <f>$B$19/$B$21</f>
        <v>7.3109058927000883E-2</v>
      </c>
      <c r="D19" s="298">
        <f>+(($B$26+$B$27+$B$28+($B$29/5))/$B$45)*$B$19</f>
        <v>53.512003507874439</v>
      </c>
      <c r="E19" s="912">
        <v>2025</v>
      </c>
      <c r="F19" s="1293">
        <f>$E$19/$E$21</f>
        <v>8.3560287199801936E-2</v>
      </c>
    </row>
    <row r="20" spans="1:6" ht="13.5" thickBot="1">
      <c r="A20" s="445" t="str">
        <f>'STEP 1.Select NHS Board'!A24</f>
        <v>Western Isles</v>
      </c>
      <c r="B20" s="912">
        <v>66</v>
      </c>
      <c r="C20" s="1293">
        <f>$B$20/$B$21</f>
        <v>7.2559366754617414E-3</v>
      </c>
      <c r="D20" s="298">
        <f>+(($B$26+$B$27+$B$28+($B$29/5))/$B$45)*$B$20</f>
        <v>5.3109657616837795</v>
      </c>
      <c r="E20" s="912">
        <v>115</v>
      </c>
      <c r="F20" s="1293">
        <f>$E$20/$E$21</f>
        <v>4.7453990261615911E-3</v>
      </c>
    </row>
    <row r="21" spans="1:6" s="27" customFormat="1" ht="16.5" thickBot="1">
      <c r="A21" s="1298" t="s">
        <v>688</v>
      </c>
      <c r="B21" s="1299">
        <f>SUM($B$7:$B$20)</f>
        <v>9096</v>
      </c>
      <c r="C21" s="1294">
        <f>SUM($C$7:$C$20)</f>
        <v>1</v>
      </c>
      <c r="D21" s="1300">
        <f>+(($B$26+$B$27+$B$28+($B$29/5))/$B$45)*$B$21</f>
        <v>731.94764497387359</v>
      </c>
      <c r="E21" s="1299">
        <f>SUM($E$7:$E$20)</f>
        <v>24234</v>
      </c>
      <c r="F21" s="1294">
        <f>SUM($F$7:$F$20)</f>
        <v>0.99999999999999989</v>
      </c>
    </row>
    <row r="22" spans="1:6" ht="13.5" thickTop="1">
      <c r="B22" s="93"/>
      <c r="D22" s="94"/>
    </row>
    <row r="23" spans="1:6">
      <c r="A23" s="19" t="s">
        <v>594</v>
      </c>
      <c r="B23" s="93"/>
    </row>
    <row r="24" spans="1:6" ht="15.75" customHeight="1" thickBot="1">
      <c r="A24" s="19" t="s">
        <v>517</v>
      </c>
      <c r="B24" s="93"/>
    </row>
    <row r="25" spans="1:6" s="7" customFormat="1" ht="17.25" thickTop="1" thickBot="1">
      <c r="A25" s="91" t="s">
        <v>519</v>
      </c>
      <c r="B25" s="1360" t="s">
        <v>520</v>
      </c>
      <c r="C25" s="1361"/>
      <c r="D25" s="1362" t="s">
        <v>521</v>
      </c>
      <c r="E25" s="1363"/>
    </row>
    <row r="26" spans="1:6">
      <c r="A26" s="1301" t="s">
        <v>522</v>
      </c>
      <c r="B26" s="914">
        <v>94</v>
      </c>
      <c r="C26" s="1295">
        <f>$B$26/$B$45</f>
        <v>3.4347937296744253E-3</v>
      </c>
      <c r="D26" s="417">
        <v>1</v>
      </c>
      <c r="E26" s="1293">
        <f>$D$26/$D$45</f>
        <v>5.01846796210053E-6</v>
      </c>
    </row>
    <row r="27" spans="1:6">
      <c r="A27" s="1302" t="s">
        <v>523</v>
      </c>
      <c r="B27" s="914">
        <v>482</v>
      </c>
      <c r="C27" s="1295">
        <f>$B$27/$B$45</f>
        <v>1.761245295428801E-2</v>
      </c>
      <c r="D27" s="417">
        <v>8</v>
      </c>
      <c r="E27" s="1293">
        <f>$D$27/$D$45</f>
        <v>4.014774369680424E-5</v>
      </c>
    </row>
    <row r="28" spans="1:6">
      <c r="A28" s="1302" t="s">
        <v>524</v>
      </c>
      <c r="B28" s="914">
        <v>1268</v>
      </c>
      <c r="C28" s="1295">
        <f>$B$28/$B$45</f>
        <v>4.6333174991778421E-2</v>
      </c>
      <c r="D28" s="417">
        <v>12</v>
      </c>
      <c r="E28" s="1293">
        <f>$D$28/$D$45</f>
        <v>6.0221615545206357E-5</v>
      </c>
    </row>
    <row r="29" spans="1:6">
      <c r="A29" s="1302" t="s">
        <v>525</v>
      </c>
      <c r="B29" s="914">
        <v>1791</v>
      </c>
      <c r="C29" s="1295">
        <f>$B$29/$B$45</f>
        <v>6.5443782657945704E-2</v>
      </c>
      <c r="D29" s="417">
        <v>77</v>
      </c>
      <c r="E29" s="1293">
        <f>$D$29/$D$45</f>
        <v>3.8642203308174083E-4</v>
      </c>
    </row>
    <row r="30" spans="1:6">
      <c r="A30" s="1302" t="s">
        <v>526</v>
      </c>
      <c r="B30" s="914">
        <v>2072</v>
      </c>
      <c r="C30" s="1295">
        <f>$B$30/$B$45</f>
        <v>7.5711623488142657E-2</v>
      </c>
      <c r="D30" s="417">
        <v>199</v>
      </c>
      <c r="E30" s="1293">
        <f>$D$30/$D$45</f>
        <v>9.986751244580054E-4</v>
      </c>
    </row>
    <row r="31" spans="1:6">
      <c r="A31" s="1302" t="s">
        <v>527</v>
      </c>
      <c r="B31" s="914">
        <v>2070</v>
      </c>
      <c r="C31" s="1295">
        <f>$B$31/$B$45</f>
        <v>7.5638542770490008E-2</v>
      </c>
      <c r="D31" s="417">
        <v>531</v>
      </c>
      <c r="E31" s="1293">
        <f>$D$31/$D$45</f>
        <v>2.6648064878753816E-3</v>
      </c>
    </row>
    <row r="32" spans="1:6">
      <c r="A32" s="1302" t="s">
        <v>528</v>
      </c>
      <c r="B32" s="914">
        <v>2067</v>
      </c>
      <c r="C32" s="1295">
        <f>$B$32/$B$45</f>
        <v>7.5528921694011042E-2</v>
      </c>
      <c r="D32" s="417">
        <v>1255</v>
      </c>
      <c r="E32" s="1293">
        <f>$D$32/$D$45</f>
        <v>6.298177292436165E-3</v>
      </c>
    </row>
    <row r="33" spans="1:5">
      <c r="A33" s="1302" t="s">
        <v>529</v>
      </c>
      <c r="B33" s="914">
        <v>2686</v>
      </c>
      <c r="C33" s="1295">
        <f>$B$33/$B$45</f>
        <v>9.814740380750539E-2</v>
      </c>
      <c r="D33" s="417">
        <v>2836</v>
      </c>
      <c r="E33" s="1293">
        <f>$D$33/$D$45</f>
        <v>1.4232375140517103E-2</v>
      </c>
    </row>
    <row r="34" spans="1:5">
      <c r="A34" s="1302" t="s">
        <v>530</v>
      </c>
      <c r="B34" s="914">
        <v>2901</v>
      </c>
      <c r="C34" s="1295">
        <f>$B$34/$B$45</f>
        <v>0.10600358095516497</v>
      </c>
      <c r="D34" s="417">
        <v>6166</v>
      </c>
      <c r="E34" s="1293">
        <f>$D$34/$D$45</f>
        <v>3.0943873454311866E-2</v>
      </c>
    </row>
    <row r="35" spans="1:5">
      <c r="A35" s="1302" t="s">
        <v>531</v>
      </c>
      <c r="B35" s="914">
        <v>2852</v>
      </c>
      <c r="C35" s="1295">
        <f>$B$35/$B$45</f>
        <v>0.10421310337267511</v>
      </c>
      <c r="D35" s="417">
        <v>11073</v>
      </c>
      <c r="E35" s="1293">
        <f>$D$35/$D$45</f>
        <v>5.556949574433917E-2</v>
      </c>
    </row>
    <row r="36" spans="1:5">
      <c r="A36" s="1302" t="s">
        <v>532</v>
      </c>
      <c r="B36" s="914">
        <v>2403</v>
      </c>
      <c r="C36" s="1295">
        <f>$B$36/$B$45</f>
        <v>8.7806482259655788E-2</v>
      </c>
      <c r="D36" s="417">
        <v>16374</v>
      </c>
      <c r="E36" s="1293">
        <f>$D$36/$D$45</f>
        <v>8.2172394411434077E-2</v>
      </c>
    </row>
    <row r="37" spans="1:5">
      <c r="A37" s="1302" t="s">
        <v>533</v>
      </c>
      <c r="B37" s="914">
        <v>1850</v>
      </c>
      <c r="C37" s="1295">
        <f>$B$37/$B$45</f>
        <v>6.7599663828698794E-2</v>
      </c>
      <c r="D37" s="417">
        <v>21380</v>
      </c>
      <c r="E37" s="1293">
        <f>$D$37/$D$45</f>
        <v>0.10729484502970933</v>
      </c>
    </row>
    <row r="38" spans="1:5">
      <c r="A38" s="1302" t="s">
        <v>534</v>
      </c>
      <c r="B38" s="914">
        <v>1617</v>
      </c>
      <c r="C38" s="1295">
        <f>$B$38/$B$45</f>
        <v>5.9085760222165384E-2</v>
      </c>
      <c r="D38" s="417">
        <v>28147</v>
      </c>
      <c r="E38" s="1293">
        <f>$D$38/$D$45</f>
        <v>0.14125481772924361</v>
      </c>
    </row>
    <row r="39" spans="1:5">
      <c r="A39" s="1302" t="s">
        <v>535</v>
      </c>
      <c r="B39" s="914">
        <v>1134</v>
      </c>
      <c r="C39" s="1295">
        <f>$B$39/$B$45</f>
        <v>4.143676690905105E-2</v>
      </c>
      <c r="D39" s="417">
        <v>28645</v>
      </c>
      <c r="E39" s="1293">
        <f>$D$39/$D$45</f>
        <v>0.14375401477436969</v>
      </c>
    </row>
    <row r="40" spans="1:5">
      <c r="A40" s="1302" t="s">
        <v>536</v>
      </c>
      <c r="B40" s="914">
        <v>939</v>
      </c>
      <c r="C40" s="1295">
        <f>$B$40/$B$45</f>
        <v>3.4311396937917932E-2</v>
      </c>
      <c r="D40" s="417">
        <v>30259</v>
      </c>
      <c r="E40" s="1293">
        <f>$D$40/$D$45</f>
        <v>0.15185382206519993</v>
      </c>
    </row>
    <row r="41" spans="1:5">
      <c r="A41" s="1302" t="s">
        <v>537</v>
      </c>
      <c r="B41" s="914">
        <v>664</v>
      </c>
      <c r="C41" s="1295">
        <f>$B$41/$B$45</f>
        <v>2.4262798260678922E-2</v>
      </c>
      <c r="D41" s="417">
        <v>25542</v>
      </c>
      <c r="E41" s="1293">
        <f>$D$41/$D$45</f>
        <v>0.12818170868797174</v>
      </c>
    </row>
    <row r="42" spans="1:5">
      <c r="A42" s="1302" t="s">
        <v>538</v>
      </c>
      <c r="B42" s="914">
        <v>331</v>
      </c>
      <c r="C42" s="1295">
        <f>$B$42/$B$45</f>
        <v>1.2094858771513136E-2</v>
      </c>
      <c r="D42" s="417">
        <v>16319</v>
      </c>
      <c r="E42" s="1293">
        <f>$D$42/$D$45</f>
        <v>8.1896378673518552E-2</v>
      </c>
    </row>
    <row r="43" spans="1:5">
      <c r="A43" s="1303" t="s">
        <v>539</v>
      </c>
      <c r="B43" s="914">
        <v>139</v>
      </c>
      <c r="C43" s="1295">
        <f>$B$43/$B$45</f>
        <v>5.0791098768589909E-3</v>
      </c>
      <c r="D43" s="417">
        <v>10381</v>
      </c>
      <c r="E43" s="1293">
        <f>$D$43/$D$45</f>
        <v>5.2096715914565599E-2</v>
      </c>
    </row>
    <row r="44" spans="1:5">
      <c r="A44" s="1302" t="s">
        <v>540</v>
      </c>
      <c r="B44" s="914">
        <v>7</v>
      </c>
      <c r="C44" s="1295">
        <f>$B$44/$B$45</f>
        <v>2.5578251178426571E-4</v>
      </c>
      <c r="D44" s="417">
        <v>59</v>
      </c>
      <c r="E44" s="1293">
        <f>$D$44/$D$45</f>
        <v>2.9608960976393127E-4</v>
      </c>
    </row>
    <row r="45" spans="1:5" s="19" customFormat="1" ht="13.5" thickBot="1">
      <c r="A45" s="1304" t="s">
        <v>661</v>
      </c>
      <c r="B45" s="1305">
        <f>SUM($B$26:$B$44)</f>
        <v>27367</v>
      </c>
      <c r="C45" s="1296">
        <f>SUM(C26:C44)</f>
        <v>1</v>
      </c>
      <c r="D45" s="1306">
        <f>SUM($D$26:$D$44)</f>
        <v>199264</v>
      </c>
      <c r="E45" s="1297">
        <f>SUM($E$26:$E$44)</f>
        <v>0.99999999999999989</v>
      </c>
    </row>
    <row r="46" spans="1:5" ht="13.5" thickTop="1">
      <c r="C46" s="89"/>
    </row>
    <row r="47" spans="1:5">
      <c r="A47" s="19" t="s">
        <v>518</v>
      </c>
    </row>
    <row r="48" spans="1:5" ht="13.5" thickBot="1">
      <c r="A48" s="19"/>
    </row>
    <row r="49" spans="1:8" ht="26.25" thickTop="1">
      <c r="A49" s="113" t="s">
        <v>597</v>
      </c>
      <c r="B49" s="915">
        <v>0.1</v>
      </c>
    </row>
    <row r="50" spans="1:8">
      <c r="A50" s="42" t="s">
        <v>599</v>
      </c>
      <c r="B50" s="916">
        <v>0.7</v>
      </c>
    </row>
    <row r="51" spans="1:8" s="96" customFormat="1" ht="25.5">
      <c r="A51" s="97" t="s">
        <v>609</v>
      </c>
      <c r="B51" s="916">
        <v>0.67</v>
      </c>
    </row>
    <row r="52" spans="1:8" s="96" customFormat="1" ht="26.25" thickBot="1">
      <c r="A52" s="114" t="s">
        <v>608</v>
      </c>
      <c r="B52" s="917">
        <v>0.33</v>
      </c>
    </row>
    <row r="53" spans="1:8" s="96" customFormat="1" ht="13.5" thickTop="1">
      <c r="A53" s="95"/>
    </row>
    <row r="55" spans="1:8" ht="13.5" thickBot="1"/>
    <row r="56" spans="1:8" ht="39.75" thickTop="1" thickBot="1">
      <c r="A56" s="76" t="s">
        <v>396</v>
      </c>
      <c r="B56" s="75" t="s">
        <v>397</v>
      </c>
      <c r="C56" s="75" t="s">
        <v>398</v>
      </c>
      <c r="D56" s="77" t="s">
        <v>338</v>
      </c>
      <c r="E56" s="77" t="s">
        <v>399</v>
      </c>
      <c r="F56" s="77" t="s">
        <v>661</v>
      </c>
      <c r="G56" s="77" t="s">
        <v>411</v>
      </c>
      <c r="H56" s="78" t="s">
        <v>341</v>
      </c>
    </row>
    <row r="57" spans="1:8">
      <c r="A57" s="24" t="s">
        <v>394</v>
      </c>
      <c r="B57" s="37" t="s">
        <v>402</v>
      </c>
      <c r="C57" s="22" t="s">
        <v>403</v>
      </c>
      <c r="D57" s="305">
        <v>34410</v>
      </c>
      <c r="E57" s="305">
        <f>$D$57*0.23</f>
        <v>7914.3</v>
      </c>
      <c r="F57" s="29">
        <f>+E57+D57</f>
        <v>42324.3</v>
      </c>
      <c r="G57" s="921">
        <f>41.3*37.5*0.8</f>
        <v>1239</v>
      </c>
      <c r="H57" s="669">
        <f>+F57/G57</f>
        <v>34.160048426150126</v>
      </c>
    </row>
    <row r="58" spans="1:8">
      <c r="A58" s="24" t="s">
        <v>404</v>
      </c>
      <c r="B58" s="37" t="s">
        <v>402</v>
      </c>
      <c r="C58" s="22" t="s">
        <v>405</v>
      </c>
      <c r="D58" s="305">
        <v>28816</v>
      </c>
      <c r="E58" s="305">
        <f>$D$58*0.23</f>
        <v>6627.68</v>
      </c>
      <c r="F58" s="29">
        <f>+E58+D58</f>
        <v>35443.68</v>
      </c>
      <c r="G58" s="921">
        <f>41.3*37.5*0.8</f>
        <v>1239</v>
      </c>
      <c r="H58" s="669">
        <f>+F58/G58</f>
        <v>28.606682808716709</v>
      </c>
    </row>
    <row r="59" spans="1:8" ht="13.5" thickBot="1">
      <c r="A59" s="81" t="s">
        <v>441</v>
      </c>
      <c r="B59" s="83" t="s">
        <v>440</v>
      </c>
      <c r="C59" s="84"/>
      <c r="D59" s="919">
        <v>16700</v>
      </c>
      <c r="E59" s="920">
        <f>$D$59*0.23</f>
        <v>3841</v>
      </c>
      <c r="F59" s="918">
        <f>+E59+D59</f>
        <v>20541</v>
      </c>
      <c r="G59" s="923">
        <f>42*37.5</f>
        <v>1575</v>
      </c>
      <c r="H59" s="1198">
        <f>+F59/G59</f>
        <v>13.041904761904762</v>
      </c>
    </row>
    <row r="60" spans="1:8" ht="13.5" thickTop="1"/>
    <row r="62" spans="1:8" ht="13.5" thickBot="1"/>
    <row r="63" spans="1:8" ht="13.5" thickTop="1">
      <c r="A63" s="85" t="s">
        <v>511</v>
      </c>
      <c r="B63" s="925">
        <v>4</v>
      </c>
    </row>
    <row r="64" spans="1:8">
      <c r="A64" s="86" t="s">
        <v>513</v>
      </c>
      <c r="B64" s="926"/>
    </row>
    <row r="65" spans="1:3">
      <c r="A65" s="87" t="s">
        <v>514</v>
      </c>
      <c r="B65" s="927">
        <v>5</v>
      </c>
    </row>
    <row r="66" spans="1:3">
      <c r="A66" s="87" t="s">
        <v>515</v>
      </c>
      <c r="B66" s="928">
        <v>0.5</v>
      </c>
    </row>
    <row r="67" spans="1:3">
      <c r="A67" s="87" t="s">
        <v>516</v>
      </c>
      <c r="B67" s="927">
        <v>10</v>
      </c>
    </row>
    <row r="68" spans="1:3" ht="13.5" thickBot="1">
      <c r="A68" s="88" t="s">
        <v>512</v>
      </c>
      <c r="B68" s="929">
        <v>500</v>
      </c>
    </row>
    <row r="69" spans="1:3" ht="13.5" thickTop="1">
      <c r="A69" s="98"/>
      <c r="B69" s="99"/>
    </row>
    <row r="71" spans="1:3" ht="15.75">
      <c r="A71" s="7" t="s">
        <v>654</v>
      </c>
    </row>
    <row r="72" spans="1:3" ht="16.5" thickBot="1">
      <c r="A72" s="7"/>
    </row>
    <row r="73" spans="1:3" s="126" customFormat="1" ht="19.5" thickTop="1" thickBot="1">
      <c r="A73" s="1358" t="s">
        <v>655</v>
      </c>
      <c r="B73" s="1359"/>
      <c r="C73" s="132"/>
    </row>
    <row r="74" spans="1:3" ht="13.5" thickBot="1">
      <c r="A74" s="131" t="s">
        <v>574</v>
      </c>
      <c r="B74" s="930">
        <v>8</v>
      </c>
    </row>
    <row r="75" spans="1:3">
      <c r="A75" s="104" t="s">
        <v>583</v>
      </c>
      <c r="B75" s="105"/>
    </row>
    <row r="76" spans="1:3">
      <c r="A76" s="97" t="s">
        <v>550</v>
      </c>
      <c r="B76" s="103"/>
    </row>
    <row r="77" spans="1:3">
      <c r="A77" s="100" t="s">
        <v>558</v>
      </c>
      <c r="B77" s="931">
        <v>4</v>
      </c>
    </row>
    <row r="78" spans="1:3">
      <c r="A78" s="100" t="s">
        <v>545</v>
      </c>
      <c r="B78" s="931">
        <v>7.5</v>
      </c>
    </row>
    <row r="79" spans="1:3">
      <c r="A79" s="100" t="s">
        <v>548</v>
      </c>
      <c r="B79" s="932">
        <f>$B$77*$B$78*$H$57</f>
        <v>1024.8014527845039</v>
      </c>
    </row>
    <row r="80" spans="1:3">
      <c r="A80" s="24" t="s">
        <v>404</v>
      </c>
      <c r="B80" s="932">
        <f>$B$77*$B$78*$H$58</f>
        <v>858.20048426150129</v>
      </c>
    </row>
    <row r="81" spans="1:2">
      <c r="A81" s="107" t="s">
        <v>549</v>
      </c>
      <c r="B81" s="1199">
        <f>$B$79+$B$80</f>
        <v>1883.0019370460052</v>
      </c>
    </row>
    <row r="82" spans="1:2">
      <c r="A82" s="128" t="s">
        <v>577</v>
      </c>
      <c r="B82" s="110"/>
    </row>
    <row r="83" spans="1:2">
      <c r="A83" s="100" t="s">
        <v>548</v>
      </c>
      <c r="B83" s="932">
        <v>250</v>
      </c>
    </row>
    <row r="84" spans="1:2">
      <c r="A84" s="24" t="s">
        <v>404</v>
      </c>
      <c r="B84" s="932">
        <v>250</v>
      </c>
    </row>
    <row r="85" spans="1:2">
      <c r="A85" s="107" t="s">
        <v>584</v>
      </c>
      <c r="B85" s="1199">
        <f>SUM($B$83:$B$84)</f>
        <v>500</v>
      </c>
    </row>
    <row r="86" spans="1:2">
      <c r="A86" s="129" t="s">
        <v>552</v>
      </c>
      <c r="B86" s="111"/>
    </row>
    <row r="87" spans="1:2">
      <c r="A87" s="100" t="s">
        <v>548</v>
      </c>
      <c r="B87" s="933">
        <v>140</v>
      </c>
    </row>
    <row r="88" spans="1:2">
      <c r="A88" s="24" t="s">
        <v>404</v>
      </c>
      <c r="B88" s="933">
        <v>140</v>
      </c>
    </row>
    <row r="89" spans="1:2">
      <c r="A89" s="107" t="s">
        <v>553</v>
      </c>
      <c r="B89" s="1200">
        <f>SUM($B$87:$B$88)</f>
        <v>280</v>
      </c>
    </row>
    <row r="90" spans="1:2">
      <c r="A90" s="128" t="s">
        <v>554</v>
      </c>
      <c r="B90" s="112"/>
    </row>
    <row r="91" spans="1:2">
      <c r="A91" s="109" t="s">
        <v>555</v>
      </c>
      <c r="B91" s="934">
        <v>3</v>
      </c>
    </row>
    <row r="92" spans="1:2">
      <c r="A92" s="109" t="s">
        <v>556</v>
      </c>
      <c r="B92" s="935">
        <v>90</v>
      </c>
    </row>
    <row r="93" spans="1:2">
      <c r="A93" s="100" t="s">
        <v>548</v>
      </c>
      <c r="B93" s="935">
        <f>$B$91*$B$92</f>
        <v>270</v>
      </c>
    </row>
    <row r="94" spans="1:2">
      <c r="A94" s="24" t="s">
        <v>404</v>
      </c>
      <c r="B94" s="935">
        <f>$B$91*$B$92</f>
        <v>270</v>
      </c>
    </row>
    <row r="95" spans="1:2" ht="13.5" thickBot="1">
      <c r="A95" s="31" t="s">
        <v>557</v>
      </c>
      <c r="B95" s="1201">
        <f>$B$93+$B$94</f>
        <v>540</v>
      </c>
    </row>
    <row r="96" spans="1:2" ht="17.25" thickTop="1" thickBot="1">
      <c r="A96" s="130" t="s">
        <v>578</v>
      </c>
      <c r="B96" s="115">
        <f>$B$81+$B$85+$B$89+$B$95</f>
        <v>3203.001937046005</v>
      </c>
    </row>
    <row r="97" spans="1:2" ht="13.5" thickTop="1">
      <c r="A97" s="106" t="s">
        <v>585</v>
      </c>
      <c r="B97" s="116"/>
    </row>
    <row r="98" spans="1:2">
      <c r="A98" s="106" t="s">
        <v>586</v>
      </c>
      <c r="B98" s="117"/>
    </row>
    <row r="99" spans="1:2">
      <c r="A99" s="101" t="s">
        <v>587</v>
      </c>
      <c r="B99" s="936">
        <v>4</v>
      </c>
    </row>
    <row r="100" spans="1:2">
      <c r="A100" s="101" t="s">
        <v>545</v>
      </c>
      <c r="B100" s="937">
        <v>7.5</v>
      </c>
    </row>
    <row r="101" spans="1:2">
      <c r="A101" s="101" t="s">
        <v>547</v>
      </c>
      <c r="B101" s="1193"/>
    </row>
    <row r="102" spans="1:2">
      <c r="A102" s="24" t="s">
        <v>394</v>
      </c>
      <c r="B102" s="938">
        <v>0.7</v>
      </c>
    </row>
    <row r="103" spans="1:2">
      <c r="A103" s="24" t="s">
        <v>404</v>
      </c>
      <c r="B103" s="938">
        <v>0.3</v>
      </c>
    </row>
    <row r="104" spans="1:2" s="96" customFormat="1">
      <c r="A104" s="127" t="s">
        <v>546</v>
      </c>
      <c r="B104" s="1199">
        <f>($B$99*$B$100)*($B$102*$H$57+$B$103*$H$58)</f>
        <v>974.82116222760294</v>
      </c>
    </row>
    <row r="105" spans="1:2" s="96" customFormat="1">
      <c r="A105" s="123" t="s">
        <v>567</v>
      </c>
      <c r="B105" s="1202">
        <f>$B$104/$B$74</f>
        <v>121.85264527845037</v>
      </c>
    </row>
    <row r="106" spans="1:2">
      <c r="A106" s="32" t="s">
        <v>323</v>
      </c>
      <c r="B106" s="117"/>
    </row>
    <row r="107" spans="1:2">
      <c r="A107" s="24" t="s">
        <v>558</v>
      </c>
      <c r="B107" s="931">
        <v>2</v>
      </c>
    </row>
    <row r="108" spans="1:2">
      <c r="A108" s="101" t="s">
        <v>545</v>
      </c>
      <c r="B108" s="937">
        <v>7.5</v>
      </c>
    </row>
    <row r="109" spans="1:2">
      <c r="A109" s="24" t="s">
        <v>324</v>
      </c>
      <c r="B109" s="1203">
        <f>$H$59</f>
        <v>13.041904761904762</v>
      </c>
    </row>
    <row r="110" spans="1:2">
      <c r="A110" s="1204" t="s">
        <v>560</v>
      </c>
      <c r="B110" s="1205">
        <f>$B$107*$B$108*$B$109</f>
        <v>195.62857142857143</v>
      </c>
    </row>
    <row r="111" spans="1:2" ht="13.5" thickBot="1">
      <c r="A111" s="1206" t="s">
        <v>568</v>
      </c>
      <c r="B111" s="1207">
        <f>$B$110/$B$74</f>
        <v>24.453571428571429</v>
      </c>
    </row>
    <row r="112" spans="1:2" ht="13.5" thickTop="1">
      <c r="A112" s="19" t="s">
        <v>561</v>
      </c>
      <c r="B112" s="139"/>
    </row>
    <row r="113" spans="1:2">
      <c r="A113" s="24" t="s">
        <v>562</v>
      </c>
      <c r="B113" s="931">
        <v>8</v>
      </c>
    </row>
    <row r="114" spans="1:2">
      <c r="A114" s="101" t="s">
        <v>563</v>
      </c>
      <c r="B114" s="933">
        <v>4</v>
      </c>
    </row>
    <row r="115" spans="1:2">
      <c r="A115" s="124" t="s">
        <v>565</v>
      </c>
      <c r="B115" s="1192">
        <f>$B$113*$B$114</f>
        <v>32</v>
      </c>
    </row>
    <row r="116" spans="1:2">
      <c r="A116" s="107" t="s">
        <v>569</v>
      </c>
      <c r="B116" s="1205">
        <f>$B$115/$B$113</f>
        <v>4</v>
      </c>
    </row>
    <row r="117" spans="1:2">
      <c r="A117" s="119" t="s">
        <v>564</v>
      </c>
      <c r="B117" s="120"/>
    </row>
    <row r="118" spans="1:2">
      <c r="A118" s="101" t="s">
        <v>544</v>
      </c>
      <c r="B118" s="936">
        <v>4</v>
      </c>
    </row>
    <row r="119" spans="1:2">
      <c r="A119" s="24" t="s">
        <v>562</v>
      </c>
      <c r="B119" s="931">
        <v>8</v>
      </c>
    </row>
    <row r="120" spans="1:2">
      <c r="A120" s="101" t="s">
        <v>563</v>
      </c>
      <c r="B120" s="933">
        <v>5</v>
      </c>
    </row>
    <row r="121" spans="1:2">
      <c r="A121" s="124" t="s">
        <v>566</v>
      </c>
      <c r="B121" s="1192">
        <f>$B$118*$B$119*$B$120</f>
        <v>160</v>
      </c>
    </row>
    <row r="122" spans="1:2">
      <c r="A122" s="107" t="s">
        <v>570</v>
      </c>
      <c r="B122" s="1205">
        <f>$B$121/$B$119</f>
        <v>20</v>
      </c>
    </row>
    <row r="123" spans="1:2">
      <c r="A123" s="122" t="s">
        <v>551</v>
      </c>
      <c r="B123" s="120"/>
    </row>
    <row r="124" spans="1:2">
      <c r="A124" s="24" t="s">
        <v>562</v>
      </c>
      <c r="B124" s="931">
        <v>8</v>
      </c>
    </row>
    <row r="125" spans="1:2">
      <c r="A125" s="24" t="s">
        <v>558</v>
      </c>
      <c r="B125" s="931">
        <v>4</v>
      </c>
    </row>
    <row r="126" spans="1:2">
      <c r="A126" s="121" t="s">
        <v>516</v>
      </c>
      <c r="B126" s="941">
        <v>10</v>
      </c>
    </row>
    <row r="127" spans="1:2">
      <c r="A127" s="22" t="s">
        <v>553</v>
      </c>
      <c r="B127" s="1208">
        <f>$B$124*$B$125*$B$126</f>
        <v>320</v>
      </c>
    </row>
    <row r="128" spans="1:2" ht="13.5" thickBot="1">
      <c r="A128" s="135" t="s">
        <v>571</v>
      </c>
      <c r="B128" s="1209">
        <f>$B$127/$B$74</f>
        <v>40</v>
      </c>
    </row>
    <row r="129" spans="1:3" ht="16.5" thickTop="1">
      <c r="A129" s="133" t="s">
        <v>588</v>
      </c>
      <c r="B129" s="134">
        <f>$B$104+$B$110+$B$115+$B$121+$B$127</f>
        <v>1682.4497336561744</v>
      </c>
    </row>
    <row r="130" spans="1:3" ht="13.5" thickBot="1">
      <c r="A130" s="135" t="s">
        <v>572</v>
      </c>
      <c r="B130" s="102">
        <f>$B$105+$B$111+$B$116+$B$122+$B$128</f>
        <v>210.3062167070218</v>
      </c>
    </row>
    <row r="131" spans="1:3" ht="37.5" customHeight="1" thickTop="1" thickBot="1"/>
    <row r="132" spans="1:3" ht="19.5" thickTop="1" thickBot="1">
      <c r="A132" s="1354" t="s">
        <v>593</v>
      </c>
      <c r="B132" s="1355"/>
      <c r="C132" s="148"/>
    </row>
    <row r="133" spans="1:3" ht="13.5" thickBot="1">
      <c r="A133" s="131" t="s">
        <v>574</v>
      </c>
      <c r="B133" s="939">
        <v>8</v>
      </c>
    </row>
    <row r="134" spans="1:3">
      <c r="A134" s="136" t="s">
        <v>583</v>
      </c>
      <c r="B134" s="105"/>
    </row>
    <row r="135" spans="1:3">
      <c r="A135" s="137" t="s">
        <v>485</v>
      </c>
      <c r="B135" s="940">
        <v>2700</v>
      </c>
    </row>
    <row r="136" spans="1:3">
      <c r="A136" s="138" t="s">
        <v>496</v>
      </c>
      <c r="B136" s="139"/>
    </row>
    <row r="137" spans="1:3">
      <c r="A137" s="137" t="s">
        <v>486</v>
      </c>
      <c r="B137" s="940">
        <v>3400</v>
      </c>
    </row>
    <row r="138" spans="1:3">
      <c r="A138" s="137" t="s">
        <v>487</v>
      </c>
      <c r="B138" s="940">
        <v>3400</v>
      </c>
    </row>
    <row r="139" spans="1:3">
      <c r="A139" s="137" t="s">
        <v>488</v>
      </c>
      <c r="B139" s="940">
        <v>3400</v>
      </c>
    </row>
    <row r="140" spans="1:3">
      <c r="A140" s="137" t="s">
        <v>497</v>
      </c>
      <c r="B140" s="940">
        <v>1266</v>
      </c>
    </row>
    <row r="141" spans="1:3">
      <c r="A141" s="97" t="s">
        <v>550</v>
      </c>
      <c r="B141" s="103"/>
    </row>
    <row r="142" spans="1:3">
      <c r="A142" s="100" t="s">
        <v>489</v>
      </c>
      <c r="B142" s="931">
        <f>105+15</f>
        <v>120</v>
      </c>
    </row>
    <row r="143" spans="1:3">
      <c r="A143" s="100" t="s">
        <v>548</v>
      </c>
      <c r="B143" s="932">
        <f>$B$142*$H$57</f>
        <v>4099.2058111380156</v>
      </c>
    </row>
    <row r="144" spans="1:3">
      <c r="A144" s="24" t="s">
        <v>404</v>
      </c>
      <c r="B144" s="932">
        <f>$B$142*$H$58</f>
        <v>3432.8019370460052</v>
      </c>
    </row>
    <row r="145" spans="1:2">
      <c r="A145" s="107" t="s">
        <v>549</v>
      </c>
      <c r="B145" s="108">
        <f>$B$143+$B$144</f>
        <v>7532.0077481840208</v>
      </c>
    </row>
    <row r="146" spans="1:2">
      <c r="A146" s="122" t="s">
        <v>490</v>
      </c>
      <c r="B146" s="120"/>
    </row>
    <row r="147" spans="1:2">
      <c r="A147" s="22" t="s">
        <v>492</v>
      </c>
      <c r="B147" s="931">
        <v>2</v>
      </c>
    </row>
    <row r="148" spans="1:2">
      <c r="A148" s="24" t="s">
        <v>558</v>
      </c>
      <c r="B148" s="931">
        <v>13</v>
      </c>
    </row>
    <row r="149" spans="1:2">
      <c r="A149" s="121" t="s">
        <v>491</v>
      </c>
      <c r="B149" s="941">
        <v>90</v>
      </c>
    </row>
    <row r="150" spans="1:2">
      <c r="A150" s="98" t="s">
        <v>495</v>
      </c>
      <c r="B150" s="942">
        <v>0.7</v>
      </c>
    </row>
    <row r="151" spans="1:2">
      <c r="A151" s="98" t="s">
        <v>571</v>
      </c>
      <c r="B151" s="941">
        <v>30</v>
      </c>
    </row>
    <row r="152" spans="1:2" ht="15.75" thickBot="1">
      <c r="A152" s="25" t="s">
        <v>493</v>
      </c>
      <c r="B152" s="1210">
        <f>(($B$148*$B$149)*$B$150+$B$151)*$B$147</f>
        <v>1698</v>
      </c>
    </row>
    <row r="153" spans="1:2" ht="17.25" thickTop="1" thickBot="1">
      <c r="A153" s="130" t="s">
        <v>494</v>
      </c>
      <c r="B153" s="115">
        <f>$B$145+$B$152+$B$135+$B$137+$B$140</f>
        <v>16596.00774818402</v>
      </c>
    </row>
    <row r="154" spans="1:2" ht="13.5" thickTop="1">
      <c r="A154" s="106" t="s">
        <v>585</v>
      </c>
      <c r="B154" s="140"/>
    </row>
    <row r="155" spans="1:2">
      <c r="A155" s="106" t="s">
        <v>586</v>
      </c>
      <c r="B155" s="141"/>
    </row>
    <row r="156" spans="1:2">
      <c r="A156" s="101" t="s">
        <v>587</v>
      </c>
      <c r="B156" s="936">
        <v>10</v>
      </c>
    </row>
    <row r="157" spans="1:2">
      <c r="A157" s="101" t="s">
        <v>498</v>
      </c>
      <c r="B157" s="937">
        <v>7.5</v>
      </c>
    </row>
    <row r="158" spans="1:2">
      <c r="A158" s="101" t="s">
        <v>547</v>
      </c>
      <c r="B158" s="937"/>
    </row>
    <row r="159" spans="1:2">
      <c r="A159" s="24" t="s">
        <v>394</v>
      </c>
      <c r="B159" s="938">
        <v>0.7</v>
      </c>
    </row>
    <row r="160" spans="1:2">
      <c r="A160" s="24" t="s">
        <v>404</v>
      </c>
      <c r="B160" s="938">
        <v>0.3</v>
      </c>
    </row>
    <row r="161" spans="1:2">
      <c r="A161" s="127" t="s">
        <v>546</v>
      </c>
      <c r="B161" s="108">
        <f>$B$156*$B$157*($B$159*$H$57+$B$160*$H$58)</f>
        <v>2437.0529055690072</v>
      </c>
    </row>
    <row r="162" spans="1:2">
      <c r="A162" s="32" t="s">
        <v>323</v>
      </c>
      <c r="B162" s="117"/>
    </row>
    <row r="163" spans="1:2">
      <c r="A163" s="24" t="s">
        <v>558</v>
      </c>
      <c r="B163" s="931">
        <v>2</v>
      </c>
    </row>
    <row r="164" spans="1:2">
      <c r="A164" s="101" t="s">
        <v>545</v>
      </c>
      <c r="B164" s="937">
        <v>7.5</v>
      </c>
    </row>
    <row r="165" spans="1:2">
      <c r="A165" s="24" t="s">
        <v>559</v>
      </c>
      <c r="B165" s="943">
        <f>$H$59</f>
        <v>13.041904761904762</v>
      </c>
    </row>
    <row r="166" spans="1:2" ht="13.5" thickBot="1">
      <c r="A166" s="142" t="s">
        <v>560</v>
      </c>
      <c r="B166" s="102">
        <f>$B$163*($B$164*$B$165)</f>
        <v>195.62857142857143</v>
      </c>
    </row>
    <row r="167" spans="1:2" ht="13.5" thickTop="1">
      <c r="A167" s="19" t="s">
        <v>561</v>
      </c>
      <c r="B167" s="118"/>
    </row>
    <row r="168" spans="1:2">
      <c r="A168" s="24" t="s">
        <v>562</v>
      </c>
      <c r="B168" s="931">
        <v>8</v>
      </c>
    </row>
    <row r="169" spans="1:2">
      <c r="A169" s="101" t="s">
        <v>563</v>
      </c>
      <c r="B169" s="933">
        <v>4</v>
      </c>
    </row>
    <row r="170" spans="1:2">
      <c r="A170" s="124" t="s">
        <v>565</v>
      </c>
      <c r="B170" s="125">
        <f>$B$113*$B$114</f>
        <v>32</v>
      </c>
    </row>
    <row r="171" spans="1:2">
      <c r="A171" s="119" t="s">
        <v>564</v>
      </c>
      <c r="B171" s="120"/>
    </row>
    <row r="172" spans="1:2">
      <c r="A172" s="101" t="s">
        <v>544</v>
      </c>
      <c r="B172" s="936">
        <v>5</v>
      </c>
    </row>
    <row r="173" spans="1:2">
      <c r="A173" s="24" t="s">
        <v>562</v>
      </c>
      <c r="B173" s="931">
        <v>8</v>
      </c>
    </row>
    <row r="174" spans="1:2">
      <c r="A174" s="101" t="s">
        <v>563</v>
      </c>
      <c r="B174" s="933">
        <v>5</v>
      </c>
    </row>
    <row r="175" spans="1:2">
      <c r="A175" s="124" t="s">
        <v>566</v>
      </c>
      <c r="B175" s="125">
        <f>$B$172*$B$173*$B$174</f>
        <v>200</v>
      </c>
    </row>
    <row r="176" spans="1:2">
      <c r="A176" s="122" t="s">
        <v>500</v>
      </c>
      <c r="B176" s="120"/>
    </row>
    <row r="177" spans="1:4">
      <c r="A177" s="22" t="s">
        <v>499</v>
      </c>
      <c r="B177" s="931">
        <v>8</v>
      </c>
    </row>
    <row r="178" spans="1:4">
      <c r="A178" s="24" t="s">
        <v>558</v>
      </c>
      <c r="B178" s="931">
        <v>5</v>
      </c>
    </row>
    <row r="179" spans="1:4">
      <c r="A179" s="121" t="s">
        <v>501</v>
      </c>
      <c r="B179" s="941">
        <v>10</v>
      </c>
    </row>
    <row r="180" spans="1:4">
      <c r="A180" s="25" t="s">
        <v>553</v>
      </c>
      <c r="B180" s="143">
        <f>$B$177*$B$178*$B$179</f>
        <v>400</v>
      </c>
    </row>
    <row r="181" spans="1:4" ht="15.75">
      <c r="A181" s="133" t="s">
        <v>588</v>
      </c>
      <c r="B181" s="134">
        <f>$B$161+$B$166+$B$170+$B$175+$B$180</f>
        <v>3264.6814769975786</v>
      </c>
    </row>
    <row r="182" spans="1:4" ht="13.5" thickBot="1">
      <c r="A182" s="135" t="s">
        <v>572</v>
      </c>
      <c r="B182" s="102">
        <f>$B$181/$B$133</f>
        <v>408.08518462469732</v>
      </c>
    </row>
    <row r="183" spans="1:4" ht="28.5" customHeight="1" thickTop="1" thickBot="1"/>
    <row r="184" spans="1:4" ht="19.5" thickTop="1" thickBot="1">
      <c r="A184" s="1354" t="s">
        <v>68</v>
      </c>
      <c r="B184" s="1355"/>
    </row>
    <row r="185" spans="1:4" ht="13.5" thickBot="1">
      <c r="A185" s="131" t="s">
        <v>574</v>
      </c>
      <c r="B185" s="939">
        <v>18</v>
      </c>
    </row>
    <row r="186" spans="1:4">
      <c r="A186" s="159" t="s">
        <v>583</v>
      </c>
      <c r="B186" s="160"/>
    </row>
    <row r="187" spans="1:4">
      <c r="A187" s="161" t="s">
        <v>78</v>
      </c>
      <c r="B187" s="931">
        <v>3</v>
      </c>
    </row>
    <row r="188" spans="1:4">
      <c r="A188" s="137" t="s">
        <v>485</v>
      </c>
      <c r="B188" s="940">
        <f>550+550</f>
        <v>1100</v>
      </c>
    </row>
    <row r="189" spans="1:4">
      <c r="A189" s="97" t="s">
        <v>550</v>
      </c>
      <c r="B189" s="103"/>
    </row>
    <row r="190" spans="1:4">
      <c r="A190" s="42" t="s">
        <v>558</v>
      </c>
      <c r="B190" s="931">
        <v>2.5</v>
      </c>
      <c r="C190" s="1352"/>
      <c r="D190" s="1353"/>
    </row>
    <row r="191" spans="1:4">
      <c r="A191" s="100" t="s">
        <v>489</v>
      </c>
      <c r="B191" s="931">
        <v>7.5</v>
      </c>
    </row>
    <row r="192" spans="1:4">
      <c r="A192" s="100" t="s">
        <v>548</v>
      </c>
      <c r="B192" s="932">
        <f>B190*B191*$H$57</f>
        <v>640.50090799031489</v>
      </c>
    </row>
    <row r="193" spans="1:2">
      <c r="A193" s="24" t="s">
        <v>404</v>
      </c>
      <c r="B193" s="932">
        <f>B190*B191*$H$58</f>
        <v>536.37530266343833</v>
      </c>
    </row>
    <row r="194" spans="1:2">
      <c r="A194" s="107" t="s">
        <v>549</v>
      </c>
      <c r="B194" s="108">
        <f>B192+B193</f>
        <v>1176.8762106537533</v>
      </c>
    </row>
    <row r="195" spans="1:2">
      <c r="A195" s="151" t="s">
        <v>490</v>
      </c>
      <c r="B195" s="152"/>
    </row>
    <row r="196" spans="1:2">
      <c r="A196" s="153" t="s">
        <v>500</v>
      </c>
      <c r="B196" s="139"/>
    </row>
    <row r="197" spans="1:2">
      <c r="A197" s="153" t="s">
        <v>62</v>
      </c>
      <c r="B197" s="931">
        <v>2</v>
      </c>
    </row>
    <row r="198" spans="1:2">
      <c r="A198" s="153" t="s">
        <v>63</v>
      </c>
      <c r="B198" s="940">
        <v>65</v>
      </c>
    </row>
    <row r="199" spans="1:2">
      <c r="A199" s="153" t="s">
        <v>64</v>
      </c>
      <c r="B199" s="940">
        <v>180</v>
      </c>
    </row>
    <row r="200" spans="1:2">
      <c r="A200" s="154" t="s">
        <v>65</v>
      </c>
      <c r="B200" s="944">
        <f>B197*(B198+B199)</f>
        <v>490</v>
      </c>
    </row>
    <row r="201" spans="1:2">
      <c r="A201" s="155" t="s">
        <v>66</v>
      </c>
      <c r="B201" s="945">
        <v>2795</v>
      </c>
    </row>
    <row r="202" spans="1:2" ht="13.5" thickBot="1">
      <c r="A202" s="156" t="s">
        <v>67</v>
      </c>
      <c r="B202" s="946">
        <f>B188+B194+B200+B201</f>
        <v>5561.8762106537533</v>
      </c>
    </row>
    <row r="203" spans="1:2" ht="13.5" thickTop="1">
      <c r="A203" s="106" t="s">
        <v>585</v>
      </c>
      <c r="B203" s="116"/>
    </row>
    <row r="204" spans="1:2">
      <c r="A204" s="106" t="s">
        <v>586</v>
      </c>
      <c r="B204" s="117"/>
    </row>
    <row r="205" spans="1:2">
      <c r="A205" s="101" t="s">
        <v>587</v>
      </c>
      <c r="B205" s="936">
        <v>6</v>
      </c>
    </row>
    <row r="206" spans="1:2">
      <c r="A206" s="101" t="s">
        <v>498</v>
      </c>
      <c r="B206" s="937">
        <v>3.5</v>
      </c>
    </row>
    <row r="207" spans="1:2">
      <c r="A207" s="101" t="s">
        <v>547</v>
      </c>
      <c r="B207" s="1252"/>
    </row>
    <row r="208" spans="1:2">
      <c r="A208" s="24" t="s">
        <v>394</v>
      </c>
      <c r="B208" s="938">
        <v>0.7</v>
      </c>
    </row>
    <row r="209" spans="1:2">
      <c r="A209" s="24" t="s">
        <v>404</v>
      </c>
      <c r="B209" s="938">
        <v>0.3</v>
      </c>
    </row>
    <row r="210" spans="1:2">
      <c r="A210" s="127" t="s">
        <v>546</v>
      </c>
      <c r="B210" s="947">
        <f>$B$205*$B$206*($B$159*$H$57+$B$160*$H$58)</f>
        <v>682.37481355932198</v>
      </c>
    </row>
    <row r="211" spans="1:2">
      <c r="A211" s="32" t="s">
        <v>323</v>
      </c>
      <c r="B211" s="117"/>
    </row>
    <row r="212" spans="1:2">
      <c r="A212" s="24" t="s">
        <v>69</v>
      </c>
      <c r="B212" s="931">
        <v>3</v>
      </c>
    </row>
    <row r="213" spans="1:2">
      <c r="A213" s="24" t="s">
        <v>70</v>
      </c>
      <c r="B213" s="931">
        <v>7.5</v>
      </c>
    </row>
    <row r="214" spans="1:2">
      <c r="A214" s="24" t="s">
        <v>587</v>
      </c>
      <c r="B214" s="931">
        <v>6</v>
      </c>
    </row>
    <row r="215" spans="1:2">
      <c r="A215" s="101" t="s">
        <v>545</v>
      </c>
      <c r="B215" s="936">
        <v>3</v>
      </c>
    </row>
    <row r="216" spans="1:2">
      <c r="A216" s="24" t="s">
        <v>559</v>
      </c>
      <c r="B216" s="943">
        <f>$H$59</f>
        <v>13.041904761904762</v>
      </c>
    </row>
    <row r="217" spans="1:2" ht="13.5" thickBot="1">
      <c r="A217" s="142" t="s">
        <v>560</v>
      </c>
      <c r="B217" s="948">
        <f>B212*B213*B216+B214*B215*B216</f>
        <v>528.19714285714281</v>
      </c>
    </row>
    <row r="218" spans="1:2" ht="13.5" thickTop="1">
      <c r="A218" s="19" t="s">
        <v>71</v>
      </c>
      <c r="B218" s="118"/>
    </row>
    <row r="219" spans="1:2">
      <c r="A219" s="24" t="s">
        <v>562</v>
      </c>
      <c r="B219" s="931">
        <v>18</v>
      </c>
    </row>
    <row r="220" spans="1:2">
      <c r="A220" s="101" t="s">
        <v>563</v>
      </c>
      <c r="B220" s="933">
        <v>4</v>
      </c>
    </row>
    <row r="221" spans="1:2">
      <c r="A221" s="107" t="s">
        <v>565</v>
      </c>
      <c r="B221" s="949">
        <f>$B$219*$B$220</f>
        <v>72</v>
      </c>
    </row>
    <row r="222" spans="1:2">
      <c r="A222" s="155" t="s">
        <v>72</v>
      </c>
      <c r="B222" s="945">
        <f>$B$66*$B$185</f>
        <v>9</v>
      </c>
    </row>
    <row r="223" spans="1:2">
      <c r="A223" s="157" t="s">
        <v>73</v>
      </c>
      <c r="B223" s="158"/>
    </row>
    <row r="224" spans="1:2">
      <c r="A224" s="153" t="s">
        <v>74</v>
      </c>
      <c r="B224" s="931">
        <v>6</v>
      </c>
    </row>
    <row r="225" spans="1:2">
      <c r="A225" s="153" t="s">
        <v>563</v>
      </c>
      <c r="B225" s="940">
        <v>10</v>
      </c>
    </row>
    <row r="226" spans="1:2" ht="13.5" thickBot="1">
      <c r="A226" s="135" t="s">
        <v>75</v>
      </c>
      <c r="B226" s="950">
        <f>$B$185*$B$224*$B$225</f>
        <v>1080</v>
      </c>
    </row>
    <row r="227" spans="1:2" ht="17.25" thickTop="1" thickBot="1">
      <c r="A227" s="951" t="s">
        <v>588</v>
      </c>
      <c r="B227" s="952">
        <f>$B$210+$B$217+$B$221+$B$222+$B$226</f>
        <v>2371.5719564164647</v>
      </c>
    </row>
    <row r="228" spans="1:2" ht="13.5" thickTop="1"/>
  </sheetData>
  <sheetProtection password="C7D8" sheet="1" objects="1" scenarios="1"/>
  <mergeCells count="8">
    <mergeCell ref="C190:D190"/>
    <mergeCell ref="A184:B184"/>
    <mergeCell ref="B6:C6"/>
    <mergeCell ref="E6:F6"/>
    <mergeCell ref="A73:B73"/>
    <mergeCell ref="A132:B132"/>
    <mergeCell ref="B25:C25"/>
    <mergeCell ref="D25:E25"/>
  </mergeCells>
  <phoneticPr fontId="4" type="noConversion"/>
  <pageMargins left="0.75" right="0.75" top="1" bottom="1" header="0.5" footer="0.5"/>
  <pageSetup paperSize="8" orientation="portrait" r:id="rId1"/>
  <headerFooter alignWithMargins="0"/>
  <ignoredErrors>
    <ignoredError sqref="A28" twoDigitTextYear="1"/>
    <ignoredError sqref="B200 B202 B210 B216:B217 B221:B222 B226 B188 B192:B193 B165 B142:B144 B93:B94 B79:B80 E57:E59 G57:H59 D7:D20 B115:B121" unlockedFormula="1"/>
  </ignoredErrors>
</worksheet>
</file>

<file path=xl/worksheets/sheet7.xml><?xml version="1.0" encoding="utf-8"?>
<worksheet xmlns="http://schemas.openxmlformats.org/spreadsheetml/2006/main" xmlns:r="http://schemas.openxmlformats.org/officeDocument/2006/relationships">
  <sheetPr codeName="Sheet12" enableFormatConditionsCalculation="0">
    <tabColor indexed="13"/>
    <pageSetUpPr fitToPage="1"/>
  </sheetPr>
  <dimension ref="A1:H121"/>
  <sheetViews>
    <sheetView showGridLines="0" showRowColHeaders="0" workbookViewId="0">
      <pane ySplit="8" topLeftCell="A9" activePane="bottomLeft" state="frozen"/>
      <selection pane="bottomLeft" sqref="A1:G1"/>
    </sheetView>
  </sheetViews>
  <sheetFormatPr defaultRowHeight="15"/>
  <cols>
    <col min="1" max="1" width="5" style="1264" customWidth="1"/>
    <col min="2" max="2" width="44.5546875" style="16" customWidth="1"/>
    <col min="3" max="3" width="10.5546875" style="9" customWidth="1"/>
    <col min="4" max="4" width="9.88671875" style="9" customWidth="1"/>
    <col min="5" max="5" width="12.5546875" style="9" customWidth="1"/>
    <col min="6" max="6" width="12.88671875" style="9" customWidth="1"/>
    <col min="7" max="7" width="10.33203125" style="9" customWidth="1"/>
    <col min="8" max="8" width="12.21875" style="9" customWidth="1"/>
    <col min="9" max="16384" width="8.88671875" style="2"/>
  </cols>
  <sheetData>
    <row r="1" spans="1:8" ht="80.099999999999994" customHeight="1">
      <c r="A1" s="1307" t="s">
        <v>796</v>
      </c>
      <c r="B1" s="1307"/>
      <c r="C1" s="1307"/>
      <c r="D1" s="1307"/>
      <c r="E1" s="1307"/>
      <c r="F1" s="1307"/>
      <c r="G1" s="1307"/>
      <c r="H1" s="331"/>
    </row>
    <row r="2" spans="1:8" ht="15.75">
      <c r="A2" s="1364" t="s">
        <v>679</v>
      </c>
      <c r="B2" s="1364"/>
      <c r="C2" s="334"/>
      <c r="D2" s="334"/>
      <c r="E2" s="334"/>
      <c r="F2" s="334"/>
      <c r="G2" s="334"/>
      <c r="H2" s="334"/>
    </row>
    <row r="3" spans="1:8" ht="25.5" customHeight="1">
      <c r="A3" s="370"/>
      <c r="B3" s="338"/>
      <c r="C3" s="338"/>
      <c r="D3" s="338"/>
      <c r="E3" s="338"/>
      <c r="F3" s="338"/>
      <c r="G3" s="338"/>
      <c r="H3" s="338"/>
    </row>
    <row r="4" spans="1:8" ht="32.25" thickBot="1">
      <c r="A4" s="1281"/>
      <c r="B4" s="341" t="s">
        <v>681</v>
      </c>
      <c r="C4" s="334"/>
      <c r="D4" s="334"/>
      <c r="E4" s="334"/>
      <c r="F4" s="334"/>
      <c r="G4" s="334"/>
      <c r="H4" s="334"/>
    </row>
    <row r="5" spans="1:8" ht="28.5" customHeight="1" thickTop="1">
      <c r="A5" s="1281"/>
      <c r="B5" s="341" t="s">
        <v>680</v>
      </c>
      <c r="C5" s="1365" t="s">
        <v>688</v>
      </c>
      <c r="D5" s="1347"/>
      <c r="E5" s="1366"/>
      <c r="F5" s="361" t="str">
        <f>'STEP 1.Select NHS Board'!B7</f>
        <v>Select NHS board</v>
      </c>
      <c r="G5" s="282"/>
      <c r="H5" s="362"/>
    </row>
    <row r="6" spans="1:8" ht="15.75" thickBot="1">
      <c r="A6" s="1281"/>
      <c r="B6" s="280"/>
      <c r="C6" s="363"/>
      <c r="D6" s="346"/>
      <c r="E6" s="364"/>
      <c r="F6" s="346"/>
      <c r="G6" s="346"/>
      <c r="H6" s="365"/>
    </row>
    <row r="7" spans="1:8" ht="27" customHeight="1" thickTop="1" thickBot="1">
      <c r="A7" s="1251" t="s">
        <v>682</v>
      </c>
      <c r="B7" s="351"/>
      <c r="C7" s="366"/>
      <c r="D7" s="353"/>
      <c r="E7" s="367"/>
      <c r="F7" s="1344" t="s">
        <v>684</v>
      </c>
      <c r="G7" s="1344"/>
      <c r="H7" s="1345"/>
    </row>
    <row r="8" spans="1:8">
      <c r="A8" s="1282"/>
      <c r="B8" s="229"/>
      <c r="C8" s="368" t="s">
        <v>815</v>
      </c>
      <c r="D8" s="231" t="s">
        <v>816</v>
      </c>
      <c r="E8" s="369" t="s">
        <v>817</v>
      </c>
      <c r="F8" s="370" t="s">
        <v>815</v>
      </c>
      <c r="G8" s="231" t="s">
        <v>816</v>
      </c>
      <c r="H8" s="371" t="s">
        <v>817</v>
      </c>
    </row>
    <row r="9" spans="1:8">
      <c r="A9" s="1282"/>
      <c r="B9" s="237"/>
      <c r="C9" s="372"/>
      <c r="D9" s="227"/>
      <c r="E9" s="373"/>
      <c r="F9" s="374"/>
      <c r="G9" s="227"/>
      <c r="H9" s="375"/>
    </row>
    <row r="10" spans="1:8" ht="25.5">
      <c r="A10" s="1278">
        <v>1</v>
      </c>
      <c r="B10" s="244" t="s">
        <v>646</v>
      </c>
      <c r="C10" s="376"/>
      <c r="D10" s="377">
        <v>2000</v>
      </c>
      <c r="E10" s="378"/>
      <c r="F10" s="377"/>
      <c r="G10" s="417">
        <f>+IF($F$5="Select NHS board",0,VLOOKUP($F$5,'Psychological unit costs '!$B$33:$L$47,8,0))</f>
        <v>0</v>
      </c>
      <c r="H10" s="379"/>
    </row>
    <row r="11" spans="1:8" ht="5.25" customHeight="1">
      <c r="A11" s="1282"/>
      <c r="B11" s="244"/>
      <c r="C11" s="376"/>
      <c r="D11" s="377"/>
      <c r="E11" s="378"/>
      <c r="F11" s="377"/>
      <c r="G11" s="416"/>
      <c r="H11" s="379"/>
    </row>
    <row r="12" spans="1:8" ht="25.5">
      <c r="A12" s="1278">
        <v>2</v>
      </c>
      <c r="B12" s="380" t="s">
        <v>226</v>
      </c>
      <c r="C12" s="381"/>
      <c r="D12" s="382"/>
      <c r="E12" s="383"/>
      <c r="F12" s="382"/>
      <c r="G12" s="382"/>
      <c r="H12" s="384"/>
    </row>
    <row r="13" spans="1:8">
      <c r="A13" s="1283"/>
      <c r="B13" s="386"/>
      <c r="C13" s="387"/>
      <c r="D13" s="374"/>
      <c r="E13" s="388"/>
      <c r="F13" s="275"/>
      <c r="G13" s="275"/>
      <c r="H13" s="311"/>
    </row>
    <row r="14" spans="1:8">
      <c r="A14" s="1278">
        <v>3</v>
      </c>
      <c r="B14" s="264" t="s">
        <v>293</v>
      </c>
      <c r="C14" s="389"/>
      <c r="D14" s="263">
        <v>8</v>
      </c>
      <c r="E14" s="390"/>
      <c r="F14" s="263"/>
      <c r="G14" s="303">
        <v>8</v>
      </c>
      <c r="H14" s="309"/>
    </row>
    <row r="15" spans="1:8">
      <c r="A15" s="1282"/>
      <c r="B15" s="264" t="s">
        <v>294</v>
      </c>
      <c r="C15" s="389"/>
      <c r="D15" s="227">
        <f>'Psychological unit costs '!$K$47</f>
        <v>255</v>
      </c>
      <c r="E15" s="390"/>
      <c r="F15" s="263"/>
      <c r="G15" s="303">
        <f>ROUNDUP($G$10/$G$14,0)</f>
        <v>0</v>
      </c>
      <c r="H15" s="309"/>
    </row>
    <row r="16" spans="1:8">
      <c r="A16" s="1282"/>
      <c r="B16" s="264"/>
      <c r="C16" s="389"/>
      <c r="D16" s="263"/>
      <c r="E16" s="390"/>
      <c r="F16" s="263"/>
      <c r="G16" s="263"/>
      <c r="H16" s="309"/>
    </row>
    <row r="17" spans="1:8">
      <c r="A17" s="1282"/>
      <c r="B17" s="233" t="s">
        <v>333</v>
      </c>
      <c r="C17" s="391"/>
      <c r="D17" s="392"/>
      <c r="E17" s="393"/>
      <c r="F17" s="392"/>
      <c r="G17" s="392"/>
      <c r="H17" s="321"/>
    </row>
    <row r="18" spans="1:8">
      <c r="A18" s="1282"/>
      <c r="B18" s="264"/>
      <c r="C18" s="389"/>
      <c r="D18" s="263"/>
      <c r="E18" s="390"/>
      <c r="F18" s="263"/>
      <c r="G18" s="263"/>
      <c r="H18" s="309"/>
    </row>
    <row r="19" spans="1:8">
      <c r="A19" s="1278">
        <v>4</v>
      </c>
      <c r="B19" s="237" t="s">
        <v>311</v>
      </c>
      <c r="C19" s="394"/>
      <c r="D19" s="263">
        <f>'Psychological unit costs '!$L$47</f>
        <v>13</v>
      </c>
      <c r="E19" s="390"/>
      <c r="F19" s="395"/>
      <c r="G19" s="417">
        <f>+IF($F$5="Select NHS board",0,VLOOKUP($F$5,'Psychological unit costs '!$B$33:$L$47,11,0))</f>
        <v>0</v>
      </c>
      <c r="H19" s="309"/>
    </row>
    <row r="20" spans="1:8">
      <c r="A20" s="1278">
        <v>5</v>
      </c>
      <c r="B20" s="237" t="s">
        <v>316</v>
      </c>
      <c r="C20" s="394">
        <f>'Psychological unit costs '!$D$87</f>
        <v>3500</v>
      </c>
      <c r="D20" s="263">
        <f>$D$19</f>
        <v>13</v>
      </c>
      <c r="E20" s="390">
        <f>$C$20*$D$20</f>
        <v>45500</v>
      </c>
      <c r="F20" s="419">
        <f>'Psychological unit costs '!$D$87</f>
        <v>3500</v>
      </c>
      <c r="G20" s="417">
        <f>$G$19</f>
        <v>0</v>
      </c>
      <c r="H20" s="396">
        <f>$F$20*$G$20</f>
        <v>0</v>
      </c>
    </row>
    <row r="21" spans="1:8">
      <c r="A21" s="1278">
        <v>6</v>
      </c>
      <c r="B21" s="237" t="s">
        <v>227</v>
      </c>
      <c r="C21" s="397">
        <f>'Psychological unit costs '!$J$84</f>
        <v>25</v>
      </c>
      <c r="D21" s="263">
        <f>'Psychological unit costs '!$D$85</f>
        <v>140</v>
      </c>
      <c r="E21" s="390">
        <f>$C$21*$D$21</f>
        <v>3500</v>
      </c>
      <c r="F21" s="304">
        <f>'Psychological unit costs '!$J$84</f>
        <v>25</v>
      </c>
      <c r="G21" s="303">
        <f>'Psychological unit costs '!$D$85</f>
        <v>140</v>
      </c>
      <c r="H21" s="309">
        <f>IF($G$19=0,0,$F$20*$G$20)</f>
        <v>0</v>
      </c>
    </row>
    <row r="22" spans="1:8">
      <c r="A22" s="1282"/>
      <c r="B22" s="237" t="s">
        <v>315</v>
      </c>
      <c r="C22" s="397">
        <f>'Psychological unit costs '!$J$84</f>
        <v>25</v>
      </c>
      <c r="D22" s="227">
        <f>$D$19*$D$21</f>
        <v>1820</v>
      </c>
      <c r="E22" s="390">
        <f>$C$22*$D$22</f>
        <v>45500</v>
      </c>
      <c r="F22" s="304">
        <f>'Psychological unit costs '!$J$84</f>
        <v>25</v>
      </c>
      <c r="G22" s="303">
        <f>$G$19*$G$21</f>
        <v>0</v>
      </c>
      <c r="H22" s="309">
        <f>$F$22*$G$22</f>
        <v>0</v>
      </c>
    </row>
    <row r="23" spans="1:8" ht="25.5">
      <c r="A23" s="1282"/>
      <c r="B23" s="237" t="s">
        <v>313</v>
      </c>
      <c r="C23" s="398">
        <f>'Psychological unit costs '!$O$83</f>
        <v>49.707842424242429</v>
      </c>
      <c r="D23" s="399">
        <f>'Psychological unit costs '!$D$84</f>
        <v>28</v>
      </c>
      <c r="E23" s="378">
        <f>$C$23*$D$23</f>
        <v>1391.8195878787881</v>
      </c>
      <c r="F23" s="420">
        <f>'Psychological unit costs '!$O$83</f>
        <v>49.707842424242429</v>
      </c>
      <c r="G23" s="418">
        <f>'Psychological unit costs '!$D$84</f>
        <v>28</v>
      </c>
      <c r="H23" s="379">
        <f>IF($G$19=0,0,$F$23*$G$23)</f>
        <v>0</v>
      </c>
    </row>
    <row r="24" spans="1:8">
      <c r="A24" s="1283"/>
      <c r="B24" s="400" t="s">
        <v>314</v>
      </c>
      <c r="C24" s="398">
        <f>'Psychological unit costs '!$O$83</f>
        <v>49.707842424242429</v>
      </c>
      <c r="D24" s="263">
        <f>$D$19*$D$23</f>
        <v>364</v>
      </c>
      <c r="E24" s="390">
        <f>$C$24*$D$24</f>
        <v>18093.654642424244</v>
      </c>
      <c r="F24" s="420">
        <f>'Psychological unit costs '!$O$83</f>
        <v>49.707842424242429</v>
      </c>
      <c r="G24" s="303">
        <f>$G$19*$G$23</f>
        <v>0</v>
      </c>
      <c r="H24" s="309">
        <f>$F$24*$G$24</f>
        <v>0</v>
      </c>
    </row>
    <row r="25" spans="1:8">
      <c r="A25" s="1282"/>
      <c r="B25" s="401" t="s">
        <v>228</v>
      </c>
      <c r="C25" s="402"/>
      <c r="D25" s="403"/>
      <c r="E25" s="404">
        <f>$E$20+$E$22+$E$24</f>
        <v>109093.65464242424</v>
      </c>
      <c r="F25" s="403"/>
      <c r="G25" s="403"/>
      <c r="H25" s="405">
        <f>$H$21+$H$22+$H$24</f>
        <v>0</v>
      </c>
    </row>
    <row r="26" spans="1:8" ht="9" customHeight="1">
      <c r="A26" s="1282"/>
      <c r="B26" s="229"/>
      <c r="C26" s="387"/>
      <c r="D26" s="263"/>
      <c r="E26" s="390"/>
      <c r="F26" s="263"/>
      <c r="G26" s="263"/>
      <c r="H26" s="309"/>
    </row>
    <row r="27" spans="1:8">
      <c r="A27" s="1282"/>
      <c r="B27" s="233" t="s">
        <v>229</v>
      </c>
      <c r="C27" s="391"/>
      <c r="D27" s="392"/>
      <c r="E27" s="393"/>
      <c r="F27" s="392"/>
      <c r="G27" s="392"/>
      <c r="H27" s="321"/>
    </row>
    <row r="28" spans="1:8">
      <c r="A28" s="1282"/>
      <c r="B28" s="229"/>
      <c r="C28" s="389"/>
      <c r="D28" s="263"/>
      <c r="E28" s="390"/>
      <c r="F28" s="263"/>
      <c r="G28" s="263"/>
      <c r="H28" s="309"/>
    </row>
    <row r="29" spans="1:8">
      <c r="A29" s="1282"/>
      <c r="B29" s="237" t="s">
        <v>334</v>
      </c>
      <c r="C29" s="397">
        <f>'Psychological unit costs '!$J$84</f>
        <v>25</v>
      </c>
      <c r="D29" s="272">
        <f>'Psychological unit costs '!$D$76</f>
        <v>3024</v>
      </c>
      <c r="E29" s="390">
        <f>$C$29*$D$29+700+700+888</f>
        <v>77888</v>
      </c>
      <c r="F29" s="304">
        <f>'Psychological unit costs '!$J$84</f>
        <v>25</v>
      </c>
      <c r="G29" s="417">
        <f>+IF($F$5="Select NHS board",0,VLOOKUP($F$5,'Psychological unit costs '!$B$62:$L$76,3,0))</f>
        <v>0</v>
      </c>
      <c r="H29" s="309">
        <f>IF($F$5="Orkney",700,IF($F$5="Shetland",700,IF($F$5="Western Isles",888,($F$29*$G$29))))</f>
        <v>0</v>
      </c>
    </row>
    <row r="30" spans="1:8" ht="7.5" customHeight="1">
      <c r="A30" s="1282"/>
      <c r="B30" s="237"/>
      <c r="C30" s="397"/>
      <c r="D30" s="272"/>
      <c r="E30" s="390"/>
      <c r="F30" s="308"/>
      <c r="G30" s="416"/>
      <c r="H30" s="309"/>
    </row>
    <row r="31" spans="1:8">
      <c r="A31" s="1282"/>
      <c r="B31" s="240" t="s">
        <v>320</v>
      </c>
      <c r="C31" s="397"/>
      <c r="D31" s="272"/>
      <c r="E31" s="390"/>
      <c r="F31" s="263"/>
      <c r="G31" s="416"/>
      <c r="H31" s="309"/>
    </row>
    <row r="32" spans="1:8" ht="25.5">
      <c r="A32" s="1278">
        <v>7</v>
      </c>
      <c r="B32" s="237" t="s">
        <v>319</v>
      </c>
      <c r="C32" s="406"/>
      <c r="D32" s="399">
        <f>'Psychological unit costs '!$D$58</f>
        <v>4</v>
      </c>
      <c r="E32" s="390"/>
      <c r="F32" s="263"/>
      <c r="G32" s="418">
        <f>'Psychological unit costs '!$D$58</f>
        <v>4</v>
      </c>
      <c r="H32" s="309"/>
    </row>
    <row r="33" spans="1:8" ht="25.5">
      <c r="A33" s="1282"/>
      <c r="B33" s="400" t="s">
        <v>318</v>
      </c>
      <c r="C33" s="407"/>
      <c r="D33" s="399">
        <f>12*$D$32</f>
        <v>48</v>
      </c>
      <c r="E33" s="390"/>
      <c r="F33" s="263"/>
      <c r="G33" s="418">
        <f>12*$D$32</f>
        <v>48</v>
      </c>
      <c r="H33" s="309"/>
    </row>
    <row r="34" spans="1:8">
      <c r="A34" s="1282"/>
      <c r="B34" s="229" t="s">
        <v>317</v>
      </c>
      <c r="C34" s="398">
        <f>'Psychological unit costs '!$O$83</f>
        <v>49.707842424242429</v>
      </c>
      <c r="D34" s="399">
        <f>$D$33*$D$19</f>
        <v>624</v>
      </c>
      <c r="E34" s="378">
        <f>$C$34*$D$34</f>
        <v>31017.693672727277</v>
      </c>
      <c r="F34" s="420">
        <f>'Psychological unit costs '!$O$83</f>
        <v>49.707842424242429</v>
      </c>
      <c r="G34" s="418">
        <f>$G$33*$G$19</f>
        <v>0</v>
      </c>
      <c r="H34" s="379">
        <f>IF($G$29=0,0,F$34*$G$34)</f>
        <v>0</v>
      </c>
    </row>
    <row r="35" spans="1:8" ht="25.5">
      <c r="A35" s="1282"/>
      <c r="B35" s="229" t="s">
        <v>321</v>
      </c>
      <c r="C35" s="397">
        <f>'Psychological unit costs '!$J$84</f>
        <v>25</v>
      </c>
      <c r="D35" s="263">
        <f>$D$33*$D$19</f>
        <v>624</v>
      </c>
      <c r="E35" s="390">
        <f>$C$35*$D$35</f>
        <v>15600</v>
      </c>
      <c r="F35" s="304">
        <f>'Psychological unit costs '!$J$84</f>
        <v>25</v>
      </c>
      <c r="G35" s="303">
        <f>$G$33*$G$19</f>
        <v>0</v>
      </c>
      <c r="H35" s="309">
        <f>IF($G$29=0,0,F$35*$G$35)</f>
        <v>0</v>
      </c>
    </row>
    <row r="36" spans="1:8">
      <c r="A36" s="1282"/>
      <c r="B36" s="401" t="s">
        <v>322</v>
      </c>
      <c r="C36" s="402"/>
      <c r="D36" s="403"/>
      <c r="E36" s="404">
        <f>$E$34+$E$35</f>
        <v>46617.693672727277</v>
      </c>
      <c r="F36" s="403"/>
      <c r="G36" s="403"/>
      <c r="H36" s="405">
        <f>$H$34+$H$35</f>
        <v>0</v>
      </c>
    </row>
    <row r="37" spans="1:8" ht="9.75" customHeight="1">
      <c r="A37" s="1282"/>
      <c r="B37" s="229"/>
      <c r="C37" s="389"/>
      <c r="D37" s="263"/>
      <c r="E37" s="390"/>
      <c r="F37" s="263"/>
      <c r="G37" s="263"/>
      <c r="H37" s="309"/>
    </row>
    <row r="38" spans="1:8">
      <c r="A38" s="1278">
        <v>8</v>
      </c>
      <c r="B38" s="229" t="s">
        <v>335</v>
      </c>
      <c r="C38" s="408"/>
      <c r="D38" s="263">
        <f>'Psychological unit costs '!$H$54</f>
        <v>7.5</v>
      </c>
      <c r="E38" s="390"/>
      <c r="F38" s="409"/>
      <c r="G38" s="303">
        <f>'Psychological unit costs '!$H$54</f>
        <v>7.5</v>
      </c>
      <c r="H38" s="309"/>
    </row>
    <row r="39" spans="1:8">
      <c r="A39" s="1282"/>
      <c r="B39" s="229" t="s">
        <v>342</v>
      </c>
      <c r="C39" s="408">
        <f>'Psychological unit costs '!$J$88</f>
        <v>13.041904761904762</v>
      </c>
      <c r="D39" s="227">
        <f>'Psychological unit costs '!$G$76</f>
        <v>3825</v>
      </c>
      <c r="E39" s="390">
        <f>$C$39*$D$39</f>
        <v>49885.285714285717</v>
      </c>
      <c r="F39" s="421">
        <f>'Psychological unit costs '!$J$88</f>
        <v>13.041904761904762</v>
      </c>
      <c r="G39" s="417">
        <f>+IF($F$5="Select NHS board",0,VLOOKUP($F$5,'Psychological unit costs '!$B$62:$L$76,6,0))</f>
        <v>0</v>
      </c>
      <c r="H39" s="309">
        <f>$F$39*$G$39</f>
        <v>0</v>
      </c>
    </row>
    <row r="40" spans="1:8" ht="15.75">
      <c r="A40" s="1282"/>
      <c r="B40" s="410" t="s">
        <v>343</v>
      </c>
      <c r="C40" s="411"/>
      <c r="D40" s="412"/>
      <c r="E40" s="413">
        <f>$E$29+$E$36+$E$39</f>
        <v>174390.97938701298</v>
      </c>
      <c r="F40" s="412"/>
      <c r="G40" s="412"/>
      <c r="H40" s="414">
        <f>$H$29+$H$36+$H$39</f>
        <v>0</v>
      </c>
    </row>
    <row r="41" spans="1:8" ht="15.75" thickBot="1">
      <c r="A41" s="1281"/>
      <c r="B41" s="415"/>
      <c r="C41" s="363"/>
      <c r="D41" s="346"/>
      <c r="E41" s="364"/>
      <c r="F41" s="346"/>
      <c r="G41" s="346"/>
      <c r="H41" s="365"/>
    </row>
    <row r="42" spans="1:8" ht="15.75" thickTop="1"/>
    <row r="43" spans="1:8">
      <c r="A43" s="1261" t="s">
        <v>151</v>
      </c>
      <c r="B43" s="1249" t="s">
        <v>152</v>
      </c>
    </row>
    <row r="44" spans="1:8" ht="130.5" customHeight="1">
      <c r="A44" s="1264">
        <v>1</v>
      </c>
      <c r="B44" s="1338" t="s">
        <v>860</v>
      </c>
      <c r="C44" s="1338"/>
      <c r="D44" s="1338"/>
      <c r="E44" s="1338"/>
      <c r="F44" s="1338"/>
      <c r="G44" s="1338"/>
      <c r="H44" s="1338"/>
    </row>
    <row r="45" spans="1:8">
      <c r="A45" s="1264">
        <v>2</v>
      </c>
      <c r="B45" s="1341" t="s">
        <v>859</v>
      </c>
      <c r="C45" s="1341"/>
      <c r="D45" s="1341"/>
      <c r="E45" s="1341"/>
      <c r="F45" s="1341"/>
      <c r="G45" s="1341"/>
      <c r="H45" s="1341"/>
    </row>
    <row r="46" spans="1:8" ht="25.5" customHeight="1">
      <c r="A46" s="1264">
        <v>3</v>
      </c>
      <c r="B46" s="1341" t="s">
        <v>861</v>
      </c>
      <c r="C46" s="1341"/>
      <c r="D46" s="1341"/>
      <c r="E46" s="1341"/>
      <c r="F46" s="1341"/>
      <c r="G46" s="1341"/>
      <c r="H46" s="1341"/>
    </row>
    <row r="47" spans="1:8" ht="21.75" customHeight="1">
      <c r="A47" s="1264">
        <v>4</v>
      </c>
      <c r="B47" s="1341" t="s">
        <v>862</v>
      </c>
      <c r="C47" s="1341"/>
      <c r="D47" s="1341"/>
      <c r="E47" s="1341"/>
      <c r="F47" s="1341"/>
      <c r="G47" s="1341"/>
      <c r="H47" s="1341"/>
    </row>
    <row r="48" spans="1:8" ht="25.5" customHeight="1">
      <c r="A48" s="1264">
        <v>5</v>
      </c>
      <c r="B48" s="1341" t="s">
        <v>863</v>
      </c>
      <c r="C48" s="1341"/>
      <c r="D48" s="1341"/>
      <c r="E48" s="1341"/>
      <c r="F48" s="1341"/>
      <c r="G48" s="1341"/>
      <c r="H48" s="1341"/>
    </row>
    <row r="49" spans="1:8" ht="54.75" customHeight="1">
      <c r="A49" s="1264">
        <v>6</v>
      </c>
      <c r="B49" s="1338" t="s">
        <v>864</v>
      </c>
      <c r="C49" s="1338"/>
      <c r="D49" s="1338"/>
      <c r="E49" s="1338"/>
      <c r="F49" s="1338"/>
      <c r="G49" s="1338"/>
      <c r="H49" s="1338"/>
    </row>
    <row r="50" spans="1:8" ht="21.75" customHeight="1">
      <c r="A50" s="1264">
        <v>7</v>
      </c>
      <c r="B50" s="1338" t="s">
        <v>865</v>
      </c>
      <c r="C50" s="1338"/>
      <c r="D50" s="1338"/>
      <c r="E50" s="1338"/>
      <c r="F50" s="1338"/>
      <c r="G50" s="1338"/>
      <c r="H50" s="1338"/>
    </row>
    <row r="51" spans="1:8" ht="25.5" customHeight="1">
      <c r="A51" s="1264">
        <v>8</v>
      </c>
      <c r="B51" s="1338" t="s">
        <v>866</v>
      </c>
      <c r="C51" s="1338"/>
      <c r="D51" s="1338"/>
      <c r="E51" s="1338"/>
      <c r="F51" s="1338"/>
      <c r="G51" s="1338"/>
      <c r="H51" s="1338"/>
    </row>
    <row r="52" spans="1:8">
      <c r="A52" s="1267"/>
      <c r="B52" s="1265"/>
      <c r="C52" s="1267"/>
      <c r="D52" s="1267"/>
      <c r="E52" s="1267"/>
      <c r="F52" s="1267"/>
      <c r="G52" s="1267"/>
      <c r="H52" s="1267"/>
    </row>
    <row r="53" spans="1:8">
      <c r="A53" s="1267"/>
      <c r="B53" s="1265"/>
      <c r="C53" s="1267"/>
      <c r="D53" s="1267"/>
      <c r="E53" s="1267"/>
      <c r="F53" s="1267"/>
      <c r="G53" s="1267"/>
      <c r="H53" s="1267"/>
    </row>
    <row r="54" spans="1:8">
      <c r="A54" s="1267"/>
      <c r="B54" s="1265"/>
      <c r="C54" s="1267"/>
      <c r="D54" s="1267"/>
      <c r="E54" s="1267"/>
      <c r="F54" s="1267"/>
      <c r="G54" s="1267"/>
      <c r="H54" s="1267"/>
    </row>
    <row r="55" spans="1:8">
      <c r="A55" s="1267"/>
      <c r="B55" s="1265"/>
      <c r="C55" s="1267"/>
      <c r="D55" s="1267"/>
      <c r="E55" s="1267"/>
      <c r="F55" s="1267"/>
      <c r="G55" s="1267"/>
      <c r="H55" s="1267"/>
    </row>
    <row r="56" spans="1:8">
      <c r="A56" s="1267"/>
      <c r="B56" s="1265"/>
      <c r="C56" s="1267"/>
      <c r="D56" s="1267"/>
      <c r="E56" s="1267"/>
      <c r="F56" s="1267"/>
      <c r="G56" s="1267"/>
      <c r="H56" s="1267"/>
    </row>
    <row r="57" spans="1:8">
      <c r="A57" s="1267"/>
      <c r="B57" s="1265"/>
      <c r="C57" s="1267"/>
      <c r="D57" s="1267"/>
      <c r="E57" s="1267"/>
      <c r="F57" s="1267"/>
      <c r="G57" s="1267"/>
      <c r="H57" s="1267"/>
    </row>
    <row r="58" spans="1:8">
      <c r="A58" s="1267"/>
      <c r="B58" s="1265"/>
      <c r="C58" s="1267"/>
      <c r="D58" s="1267"/>
      <c r="E58" s="1267"/>
      <c r="F58" s="1267"/>
      <c r="G58" s="1267"/>
      <c r="H58" s="1267"/>
    </row>
    <row r="59" spans="1:8">
      <c r="A59" s="1267"/>
      <c r="B59" s="1265"/>
      <c r="C59" s="1267"/>
      <c r="D59" s="1267"/>
      <c r="E59" s="1267"/>
      <c r="F59" s="1267"/>
      <c r="G59" s="1267"/>
      <c r="H59" s="1267"/>
    </row>
    <row r="60" spans="1:8">
      <c r="A60" s="1267"/>
      <c r="B60" s="1265"/>
      <c r="C60" s="1267"/>
      <c r="D60" s="1267"/>
      <c r="E60" s="1267"/>
      <c r="F60" s="1267"/>
      <c r="G60" s="1267"/>
      <c r="H60" s="1267"/>
    </row>
    <row r="61" spans="1:8">
      <c r="A61" s="1267"/>
      <c r="B61" s="1265"/>
      <c r="C61" s="1267"/>
      <c r="D61" s="1267"/>
      <c r="E61" s="1267"/>
      <c r="F61" s="1267"/>
      <c r="G61" s="1267"/>
      <c r="H61" s="1267"/>
    </row>
    <row r="62" spans="1:8">
      <c r="A62" s="1267"/>
      <c r="B62" s="1265"/>
      <c r="C62" s="1267"/>
      <c r="D62" s="1267"/>
      <c r="E62" s="1267"/>
      <c r="F62" s="1267"/>
      <c r="G62" s="1267"/>
      <c r="H62" s="1267"/>
    </row>
    <row r="63" spans="1:8">
      <c r="A63" s="1267"/>
      <c r="B63" s="1265"/>
      <c r="C63" s="1267"/>
      <c r="D63" s="1267"/>
      <c r="E63" s="1267"/>
      <c r="F63" s="1267"/>
      <c r="G63" s="1267"/>
      <c r="H63" s="1267"/>
    </row>
    <row r="64" spans="1:8">
      <c r="A64" s="1267"/>
      <c r="B64" s="1265"/>
      <c r="C64" s="1267"/>
      <c r="D64" s="1267"/>
      <c r="E64" s="1267"/>
      <c r="F64" s="1267"/>
      <c r="G64" s="1267"/>
      <c r="H64" s="1267"/>
    </row>
    <row r="65" spans="1:8">
      <c r="A65" s="1267"/>
      <c r="B65" s="1265"/>
      <c r="C65" s="1267"/>
      <c r="D65" s="1267"/>
      <c r="E65" s="1267"/>
      <c r="F65" s="1267"/>
      <c r="G65" s="1267"/>
      <c r="H65" s="1267"/>
    </row>
    <row r="66" spans="1:8">
      <c r="A66" s="1267"/>
      <c r="B66" s="1265"/>
      <c r="C66" s="1267"/>
      <c r="D66" s="1267"/>
      <c r="E66" s="1267"/>
      <c r="F66" s="1267"/>
      <c r="G66" s="1267"/>
      <c r="H66" s="1267"/>
    </row>
    <row r="67" spans="1:8">
      <c r="A67" s="1267"/>
      <c r="B67" s="1265"/>
      <c r="C67" s="1267"/>
      <c r="D67" s="1267"/>
      <c r="E67" s="1267"/>
      <c r="F67" s="1267"/>
      <c r="G67" s="1267"/>
      <c r="H67" s="1267"/>
    </row>
    <row r="68" spans="1:8">
      <c r="A68" s="1267"/>
      <c r="B68" s="1265"/>
      <c r="C68" s="1267"/>
      <c r="D68" s="1267"/>
      <c r="E68" s="1267"/>
      <c r="F68" s="1267"/>
      <c r="G68" s="1267"/>
      <c r="H68" s="1267"/>
    </row>
    <row r="69" spans="1:8">
      <c r="A69" s="1267"/>
      <c r="B69" s="1265"/>
      <c r="C69" s="1267"/>
      <c r="D69" s="1267"/>
      <c r="E69" s="1267"/>
      <c r="F69" s="1267"/>
      <c r="G69" s="1267"/>
      <c r="H69" s="1267"/>
    </row>
    <row r="70" spans="1:8">
      <c r="A70" s="1267"/>
      <c r="B70" s="1265"/>
      <c r="C70" s="1267"/>
      <c r="D70" s="1267"/>
      <c r="E70" s="1267"/>
      <c r="F70" s="1267"/>
      <c r="G70" s="1267"/>
      <c r="H70" s="1267"/>
    </row>
    <row r="71" spans="1:8">
      <c r="B71" s="1265"/>
      <c r="C71" s="1267"/>
      <c r="D71" s="1267"/>
      <c r="E71" s="1267"/>
      <c r="F71" s="1267"/>
      <c r="G71" s="1267"/>
      <c r="H71" s="1267"/>
    </row>
    <row r="72" spans="1:8">
      <c r="B72" s="1265"/>
      <c r="C72" s="1267"/>
      <c r="D72" s="1267"/>
      <c r="E72" s="1267"/>
      <c r="F72" s="1267"/>
      <c r="G72" s="1267"/>
      <c r="H72" s="1267"/>
    </row>
    <row r="73" spans="1:8">
      <c r="B73" s="1265"/>
      <c r="C73" s="1267"/>
      <c r="D73" s="1267"/>
      <c r="E73" s="1267"/>
      <c r="F73" s="1267"/>
      <c r="G73" s="1267"/>
      <c r="H73" s="1267"/>
    </row>
    <row r="74" spans="1:8">
      <c r="B74" s="1265"/>
      <c r="C74" s="1267"/>
      <c r="D74" s="1267"/>
      <c r="E74" s="1267"/>
      <c r="F74" s="1267"/>
      <c r="G74" s="1267"/>
      <c r="H74" s="1267"/>
    </row>
    <row r="75" spans="1:8">
      <c r="B75" s="1265"/>
      <c r="C75" s="1267"/>
      <c r="D75" s="1267"/>
      <c r="E75" s="1267"/>
      <c r="F75" s="1267"/>
      <c r="G75" s="1267"/>
      <c r="H75" s="1267"/>
    </row>
    <row r="76" spans="1:8">
      <c r="B76" s="1265"/>
      <c r="C76" s="1267"/>
      <c r="D76" s="1267"/>
      <c r="E76" s="1267"/>
      <c r="F76" s="1267"/>
      <c r="G76" s="1267"/>
      <c r="H76" s="1267"/>
    </row>
    <row r="77" spans="1:8">
      <c r="B77" s="1265"/>
      <c r="C77" s="1267"/>
      <c r="D77" s="1267"/>
      <c r="E77" s="1267"/>
      <c r="F77" s="1267"/>
      <c r="G77" s="1267"/>
      <c r="H77" s="1267"/>
    </row>
    <row r="78" spans="1:8">
      <c r="B78" s="1265"/>
      <c r="C78" s="1267"/>
      <c r="D78" s="1267"/>
      <c r="E78" s="1267"/>
      <c r="F78" s="1267"/>
      <c r="G78" s="1267"/>
      <c r="H78" s="1267"/>
    </row>
    <row r="79" spans="1:8">
      <c r="B79" s="1265"/>
      <c r="C79" s="1267"/>
      <c r="D79" s="1267"/>
      <c r="E79" s="1267"/>
      <c r="F79" s="1267"/>
      <c r="G79" s="1267"/>
      <c r="H79" s="1267"/>
    </row>
    <row r="80" spans="1:8">
      <c r="B80" s="1265"/>
      <c r="C80" s="1267"/>
      <c r="D80" s="1267"/>
      <c r="E80" s="1267"/>
      <c r="F80" s="1267"/>
      <c r="G80" s="1267"/>
      <c r="H80" s="1267"/>
    </row>
    <row r="81" spans="2:8">
      <c r="B81" s="1265"/>
      <c r="C81" s="1267"/>
      <c r="D81" s="1267"/>
      <c r="E81" s="1267"/>
      <c r="F81" s="1267"/>
      <c r="G81" s="1267"/>
      <c r="H81" s="1267"/>
    </row>
    <row r="82" spans="2:8">
      <c r="B82" s="1265"/>
      <c r="C82" s="1267"/>
      <c r="D82" s="1267"/>
      <c r="E82" s="1267"/>
      <c r="F82" s="1267"/>
      <c r="G82" s="1267"/>
      <c r="H82" s="1267"/>
    </row>
    <row r="83" spans="2:8">
      <c r="B83" s="1265"/>
      <c r="C83" s="1267"/>
      <c r="D83" s="1267"/>
      <c r="E83" s="1267"/>
      <c r="F83" s="1267"/>
      <c r="G83" s="1267"/>
      <c r="H83" s="1267"/>
    </row>
    <row r="84" spans="2:8">
      <c r="B84" s="1265"/>
      <c r="C84" s="1267"/>
      <c r="D84" s="1267"/>
      <c r="E84" s="1267"/>
      <c r="F84" s="1267"/>
      <c r="G84" s="1267"/>
      <c r="H84" s="1267"/>
    </row>
    <row r="85" spans="2:8">
      <c r="B85" s="1265"/>
      <c r="C85" s="1267"/>
      <c r="D85" s="1267"/>
      <c r="E85" s="1267"/>
      <c r="F85" s="1267"/>
      <c r="G85" s="1267"/>
      <c r="H85" s="1267"/>
    </row>
    <row r="86" spans="2:8">
      <c r="B86" s="1265"/>
      <c r="C86" s="1267"/>
      <c r="D86" s="1267"/>
      <c r="E86" s="1267"/>
      <c r="F86" s="1267"/>
      <c r="G86" s="1267"/>
      <c r="H86" s="1267"/>
    </row>
    <row r="87" spans="2:8">
      <c r="B87" s="1265"/>
      <c r="C87" s="1267"/>
      <c r="D87" s="1267"/>
      <c r="E87" s="1267"/>
      <c r="F87" s="1267"/>
      <c r="G87" s="1267"/>
      <c r="H87" s="1267"/>
    </row>
    <row r="88" spans="2:8">
      <c r="B88" s="1265"/>
      <c r="C88" s="1267"/>
      <c r="D88" s="1267"/>
      <c r="E88" s="1267"/>
      <c r="F88" s="1267"/>
      <c r="G88" s="1267"/>
      <c r="H88" s="1267"/>
    </row>
    <row r="89" spans="2:8">
      <c r="B89" s="1265"/>
      <c r="C89" s="1267"/>
      <c r="D89" s="1267"/>
      <c r="E89" s="1267"/>
      <c r="F89" s="1267"/>
      <c r="G89" s="1267"/>
      <c r="H89" s="1267"/>
    </row>
    <row r="90" spans="2:8">
      <c r="B90" s="1265"/>
      <c r="C90" s="1267"/>
      <c r="D90" s="1267"/>
      <c r="E90" s="1267"/>
      <c r="F90" s="1267"/>
      <c r="G90" s="1267"/>
      <c r="H90" s="1267"/>
    </row>
    <row r="91" spans="2:8">
      <c r="B91" s="1265"/>
      <c r="C91" s="1267"/>
      <c r="D91" s="1267"/>
      <c r="E91" s="1267"/>
      <c r="F91" s="1267"/>
      <c r="G91" s="1267"/>
      <c r="H91" s="1267"/>
    </row>
    <row r="92" spans="2:8">
      <c r="B92" s="1265"/>
      <c r="C92" s="1267"/>
      <c r="D92" s="1267"/>
      <c r="E92" s="1267"/>
      <c r="F92" s="1267"/>
      <c r="G92" s="1267"/>
      <c r="H92" s="1267"/>
    </row>
    <row r="93" spans="2:8">
      <c r="B93" s="1265"/>
      <c r="C93" s="1267"/>
      <c r="D93" s="1267"/>
      <c r="E93" s="1267"/>
      <c r="F93" s="1267"/>
      <c r="G93" s="1267"/>
      <c r="H93" s="1267"/>
    </row>
    <row r="94" spans="2:8">
      <c r="B94" s="1265"/>
      <c r="C94" s="1267"/>
      <c r="D94" s="1267"/>
      <c r="E94" s="1267"/>
      <c r="F94" s="1267"/>
      <c r="G94" s="1267"/>
      <c r="H94" s="1267"/>
    </row>
    <row r="95" spans="2:8">
      <c r="B95" s="1265"/>
      <c r="C95" s="1267"/>
      <c r="D95" s="1267"/>
      <c r="E95" s="1267"/>
      <c r="F95" s="1267"/>
      <c r="G95" s="1267"/>
      <c r="H95" s="1267"/>
    </row>
    <row r="96" spans="2:8">
      <c r="B96" s="1265"/>
      <c r="C96" s="1267"/>
      <c r="D96" s="1267"/>
      <c r="E96" s="1267"/>
      <c r="F96" s="1267"/>
      <c r="G96" s="1267"/>
      <c r="H96" s="1267"/>
    </row>
    <row r="97" spans="2:8">
      <c r="B97" s="1265"/>
      <c r="C97" s="1267"/>
      <c r="D97" s="1267"/>
      <c r="E97" s="1267"/>
      <c r="F97" s="1267"/>
      <c r="G97" s="1267"/>
      <c r="H97" s="1267"/>
    </row>
    <row r="98" spans="2:8">
      <c r="B98" s="1265"/>
      <c r="C98" s="1267"/>
      <c r="D98" s="1267"/>
      <c r="E98" s="1267"/>
      <c r="F98" s="1267"/>
      <c r="G98" s="1267"/>
      <c r="H98" s="1267"/>
    </row>
    <row r="99" spans="2:8">
      <c r="B99" s="1265"/>
      <c r="C99" s="1267"/>
      <c r="D99" s="1267"/>
      <c r="E99" s="1267"/>
      <c r="F99" s="1267"/>
      <c r="G99" s="1267"/>
      <c r="H99" s="1267"/>
    </row>
    <row r="100" spans="2:8">
      <c r="B100" s="1265"/>
      <c r="C100" s="1267"/>
      <c r="D100" s="1267"/>
      <c r="E100" s="1267"/>
      <c r="F100" s="1267"/>
      <c r="G100" s="1267"/>
      <c r="H100" s="1267"/>
    </row>
    <row r="101" spans="2:8">
      <c r="B101" s="1265"/>
      <c r="C101" s="1267"/>
      <c r="D101" s="1267"/>
      <c r="E101" s="1267"/>
      <c r="F101" s="1267"/>
      <c r="G101" s="1267"/>
      <c r="H101" s="1267"/>
    </row>
    <row r="102" spans="2:8">
      <c r="B102" s="1265"/>
      <c r="C102" s="1267"/>
      <c r="D102" s="1267"/>
      <c r="E102" s="1267"/>
      <c r="F102" s="1267"/>
      <c r="G102" s="1267"/>
      <c r="H102" s="1267"/>
    </row>
    <row r="103" spans="2:8">
      <c r="B103" s="1265"/>
      <c r="C103" s="1267"/>
      <c r="D103" s="1267"/>
      <c r="E103" s="1267"/>
      <c r="F103" s="1267"/>
      <c r="G103" s="1267"/>
      <c r="H103" s="1267"/>
    </row>
    <row r="104" spans="2:8">
      <c r="B104" s="1265"/>
      <c r="C104" s="1267"/>
      <c r="D104" s="1267"/>
      <c r="E104" s="1267"/>
      <c r="F104" s="1267"/>
      <c r="G104" s="1267"/>
      <c r="H104" s="1267"/>
    </row>
    <row r="105" spans="2:8">
      <c r="B105" s="1265"/>
      <c r="C105" s="1267"/>
      <c r="D105" s="1267"/>
      <c r="E105" s="1267"/>
      <c r="F105" s="1267"/>
      <c r="G105" s="1267"/>
      <c r="H105" s="1267"/>
    </row>
    <row r="106" spans="2:8">
      <c r="B106" s="1265"/>
      <c r="C106" s="1267"/>
      <c r="D106" s="1267"/>
      <c r="E106" s="1267"/>
      <c r="F106" s="1267"/>
      <c r="G106" s="1267"/>
      <c r="H106" s="1267"/>
    </row>
    <row r="107" spans="2:8">
      <c r="B107" s="1265"/>
      <c r="C107" s="1267"/>
      <c r="D107" s="1267"/>
      <c r="E107" s="1267"/>
      <c r="F107" s="1267"/>
      <c r="G107" s="1267"/>
      <c r="H107" s="1267"/>
    </row>
    <row r="108" spans="2:8">
      <c r="B108" s="1265"/>
      <c r="C108" s="1267"/>
      <c r="D108" s="1267"/>
      <c r="E108" s="1267"/>
      <c r="F108" s="1267"/>
      <c r="G108" s="1267"/>
      <c r="H108" s="1267"/>
    </row>
    <row r="109" spans="2:8">
      <c r="B109" s="1265"/>
      <c r="C109" s="1267"/>
      <c r="D109" s="1267"/>
      <c r="E109" s="1267"/>
      <c r="F109" s="1267"/>
      <c r="G109" s="1267"/>
      <c r="H109" s="1267"/>
    </row>
    <row r="110" spans="2:8">
      <c r="B110" s="1265"/>
      <c r="C110" s="1267"/>
      <c r="D110" s="1267"/>
      <c r="E110" s="1267"/>
      <c r="F110" s="1267"/>
      <c r="G110" s="1267"/>
      <c r="H110" s="1267"/>
    </row>
    <row r="111" spans="2:8">
      <c r="B111" s="1265"/>
      <c r="C111" s="1267"/>
      <c r="D111" s="1267"/>
      <c r="E111" s="1267"/>
      <c r="F111" s="1267"/>
      <c r="G111" s="1267"/>
      <c r="H111" s="1267"/>
    </row>
    <row r="112" spans="2:8">
      <c r="B112" s="1265"/>
      <c r="C112" s="1267"/>
      <c r="D112" s="1267"/>
      <c r="E112" s="1267"/>
      <c r="F112" s="1267"/>
      <c r="G112" s="1267"/>
      <c r="H112" s="1267"/>
    </row>
    <row r="113" spans="2:8">
      <c r="B113" s="1265"/>
      <c r="C113" s="1267"/>
      <c r="D113" s="1267"/>
      <c r="E113" s="1267"/>
      <c r="F113" s="1267"/>
      <c r="G113" s="1267"/>
      <c r="H113" s="1267"/>
    </row>
    <row r="114" spans="2:8">
      <c r="B114" s="1265"/>
      <c r="C114" s="1267"/>
      <c r="D114" s="1267"/>
      <c r="E114" s="1267"/>
      <c r="F114" s="1267"/>
      <c r="G114" s="1267"/>
      <c r="H114" s="1267"/>
    </row>
    <row r="115" spans="2:8">
      <c r="B115" s="1265"/>
      <c r="C115" s="1267"/>
      <c r="D115" s="1267"/>
      <c r="E115" s="1267"/>
      <c r="F115" s="1267"/>
      <c r="G115" s="1267"/>
      <c r="H115" s="1267"/>
    </row>
    <row r="116" spans="2:8">
      <c r="B116" s="1265"/>
      <c r="C116" s="1267"/>
      <c r="D116" s="1267"/>
      <c r="E116" s="1267"/>
      <c r="F116" s="1267"/>
      <c r="G116" s="1267"/>
      <c r="H116" s="1267"/>
    </row>
    <row r="117" spans="2:8">
      <c r="B117" s="1265"/>
      <c r="C117" s="1267"/>
      <c r="D117" s="1267"/>
      <c r="E117" s="1267"/>
      <c r="F117" s="1267"/>
      <c r="G117" s="1267"/>
      <c r="H117" s="1267"/>
    </row>
    <row r="118" spans="2:8">
      <c r="B118" s="1265"/>
      <c r="C118" s="1267"/>
      <c r="D118" s="1267"/>
      <c r="E118" s="1267"/>
      <c r="F118" s="1267"/>
      <c r="G118" s="1267"/>
      <c r="H118" s="1267"/>
    </row>
    <row r="119" spans="2:8">
      <c r="B119" s="1265"/>
      <c r="C119" s="1267"/>
      <c r="D119" s="1267"/>
      <c r="E119" s="1267"/>
      <c r="F119" s="1267"/>
      <c r="G119" s="1267"/>
      <c r="H119" s="1267"/>
    </row>
    <row r="120" spans="2:8">
      <c r="B120" s="1265"/>
      <c r="C120" s="1267"/>
      <c r="D120" s="1267"/>
      <c r="E120" s="1267"/>
      <c r="F120" s="1267"/>
      <c r="G120" s="1267"/>
      <c r="H120" s="1267"/>
    </row>
    <row r="121" spans="2:8">
      <c r="B121" s="1265"/>
      <c r="C121" s="1267"/>
      <c r="D121" s="1267"/>
      <c r="E121" s="1267"/>
      <c r="F121" s="1267"/>
      <c r="G121" s="1267"/>
      <c r="H121" s="1267"/>
    </row>
  </sheetData>
  <sheetProtection password="C7D8" sheet="1" objects="1" scenarios="1"/>
  <mergeCells count="12">
    <mergeCell ref="B49:H49"/>
    <mergeCell ref="B50:H50"/>
    <mergeCell ref="B51:H51"/>
    <mergeCell ref="F7:H7"/>
    <mergeCell ref="A1:G1"/>
    <mergeCell ref="A2:B2"/>
    <mergeCell ref="C5:E5"/>
    <mergeCell ref="B45:H45"/>
    <mergeCell ref="B44:H44"/>
    <mergeCell ref="B46:H46"/>
    <mergeCell ref="B47:H47"/>
    <mergeCell ref="B48:H48"/>
  </mergeCells>
  <phoneticPr fontId="4" type="noConversion"/>
  <dataValidations xWindow="757" yWindow="211" count="2">
    <dataValidation allowBlank="1" showInputMessage="1" showErrorMessage="1" promptTitle="NHS board selected" prompt="'Select Health board' will change to NHS board selected in STEP 1.  Costs are based on the NHS board selected in step 1. " sqref="F5"/>
    <dataValidation allowBlank="1" showInputMessage="1" showErrorMessage="1" promptTitle="Notes" prompt="_x000a_Click on a number below to be provided with a information relating to the corresponding part of the model." sqref="A7"/>
  </dataValidations>
  <hyperlinks>
    <hyperlink ref="A12" location="'STEP 2. Psychological Interv''ns'!A45" display="'STEP 2. Psychological Interv''ns'!A45"/>
    <hyperlink ref="A10" location="'STEP 2. Psychological Interv''ns'!A44" display="'STEP 2. Psychological Interv''ns'!A44"/>
    <hyperlink ref="A14" location="'STEP 2. Psychological Interv''ns'!A46" display="'STEP 2. Psychological Interv''ns'!A46"/>
    <hyperlink ref="A19" location="'STEP 2. Psychological Interv''ns'!A47" display="'STEP 2. Psychological Interv''ns'!A47"/>
    <hyperlink ref="A20" location="'STEP 2. Psychological Interv''ns'!A48" display="'STEP 2. Psychological Interv''ns'!A48"/>
    <hyperlink ref="A21" location="'STEP 2. Psychological Interv''ns'!A49" display="'STEP 2. Psychological Interv''ns'!A49"/>
    <hyperlink ref="A32" location="'STEP 2. Psychological Interv''ns'!A50" display="'STEP 2. Psychological Interv''ns'!A50"/>
    <hyperlink ref="A38" location="'STEP 2. Psychological Interv''ns'!A51" display="'STEP 2. Psychological Interv''ns'!A51"/>
  </hyperlinks>
  <pageMargins left="0.75" right="0.75" top="1" bottom="1" header="0.5" footer="0.5"/>
  <pageSetup paperSize="8" scale="92" fitToHeight="0" orientation="portrait" r:id="rId1"/>
  <headerFooter alignWithMargins="0"/>
  <ignoredErrors>
    <ignoredError sqref="G10 F39 G21:G24 G19:G20 F20:F24 F29:G29 G34:G35 G32:G33 F34:F35 G15 G38:G39" unlockedFormula="1"/>
  </ignoredErrors>
  <drawing r:id="rId2"/>
</worksheet>
</file>

<file path=xl/worksheets/sheet8.xml><?xml version="1.0" encoding="utf-8"?>
<worksheet xmlns="http://schemas.openxmlformats.org/spreadsheetml/2006/main" xmlns:r="http://schemas.openxmlformats.org/officeDocument/2006/relationships">
  <sheetPr codeName="Sheet18">
    <pageSetUpPr autoPageBreaks="0"/>
  </sheetPr>
  <dimension ref="A1:S110"/>
  <sheetViews>
    <sheetView showGridLines="0" showRowColHeaders="0" topLeftCell="A28" workbookViewId="0">
      <selection activeCell="D84" sqref="D84"/>
    </sheetView>
  </sheetViews>
  <sheetFormatPr defaultRowHeight="14.25"/>
  <cols>
    <col min="1" max="1" width="2.5546875" style="759" customWidth="1"/>
    <col min="2" max="2" width="18.88671875" style="759" customWidth="1"/>
    <col min="3" max="3" width="7" style="759" customWidth="1"/>
    <col min="4" max="4" width="10.5546875" style="759" customWidth="1"/>
    <col min="5" max="5" width="11.44140625" style="759" customWidth="1"/>
    <col min="6" max="6" width="11.21875" style="759" customWidth="1"/>
    <col min="7" max="7" width="12.44140625" style="759" customWidth="1"/>
    <col min="8" max="8" width="10.21875" style="759" customWidth="1"/>
    <col min="9" max="9" width="11.77734375" style="759" customWidth="1"/>
    <col min="10" max="10" width="10.5546875" style="759" customWidth="1"/>
    <col min="11" max="11" width="12.21875" style="759" customWidth="1"/>
    <col min="12" max="12" width="11.5546875" style="759" customWidth="1"/>
    <col min="13" max="13" width="10.33203125" style="759" customWidth="1"/>
    <col min="14" max="14" width="8.21875" style="759" customWidth="1"/>
    <col min="15" max="15" width="9.109375" style="759" customWidth="1"/>
    <col min="16" max="16384" width="8.88671875" style="759"/>
  </cols>
  <sheetData>
    <row r="1" spans="2:19" ht="15.75" hidden="1" thickBot="1">
      <c r="B1" s="1388" t="s">
        <v>230</v>
      </c>
      <c r="C1" s="1388"/>
      <c r="D1" s="1388"/>
      <c r="E1" s="1388"/>
      <c r="F1" s="1388"/>
      <c r="G1" s="1388"/>
    </row>
    <row r="2" spans="2:19" ht="30" hidden="1" customHeight="1" thickTop="1" thickBot="1">
      <c r="B2" s="1396" t="s">
        <v>231</v>
      </c>
      <c r="C2" s="1397"/>
      <c r="D2" s="1397"/>
      <c r="E2" s="1397"/>
      <c r="F2" s="1397"/>
      <c r="G2" s="1398"/>
      <c r="H2" s="1393" t="s">
        <v>232</v>
      </c>
      <c r="I2" s="1394"/>
      <c r="J2" s="1394"/>
      <c r="K2" s="1394"/>
      <c r="L2" s="1394"/>
      <c r="M2" s="1395"/>
    </row>
    <row r="3" spans="2:19" ht="15" hidden="1" customHeight="1" thickBot="1">
      <c r="B3" s="760"/>
      <c r="C3" s="761"/>
      <c r="D3" s="1391" t="s">
        <v>233</v>
      </c>
      <c r="E3" s="1391"/>
      <c r="F3" s="1391" t="s">
        <v>234</v>
      </c>
      <c r="G3" s="1392"/>
      <c r="J3" s="762"/>
    </row>
    <row r="4" spans="2:19" ht="96" hidden="1" customHeight="1" thickBot="1">
      <c r="B4" s="763" t="s">
        <v>235</v>
      </c>
      <c r="C4" s="764" t="s">
        <v>236</v>
      </c>
      <c r="D4" s="764" t="s">
        <v>237</v>
      </c>
      <c r="E4" s="764" t="s">
        <v>238</v>
      </c>
      <c r="F4" s="764" t="s">
        <v>237</v>
      </c>
      <c r="G4" s="765" t="s">
        <v>238</v>
      </c>
      <c r="H4" s="766" t="s">
        <v>239</v>
      </c>
      <c r="I4" s="767" t="s">
        <v>240</v>
      </c>
      <c r="J4" s="768" t="s">
        <v>241</v>
      </c>
      <c r="K4" s="768" t="s">
        <v>242</v>
      </c>
      <c r="L4" s="768" t="s">
        <v>243</v>
      </c>
      <c r="M4" s="769" t="s">
        <v>244</v>
      </c>
    </row>
    <row r="5" spans="2:19" ht="33.75" hidden="1" thickBot="1">
      <c r="B5" s="770" t="s">
        <v>245</v>
      </c>
      <c r="C5" s="771" t="s">
        <v>246</v>
      </c>
      <c r="D5" s="772">
        <v>3.7</v>
      </c>
      <c r="E5" s="773">
        <v>1623</v>
      </c>
      <c r="F5" s="772">
        <v>0.6</v>
      </c>
      <c r="G5" s="774">
        <v>262</v>
      </c>
      <c r="H5" s="775" t="s">
        <v>247</v>
      </c>
      <c r="I5" s="776">
        <f t="shared" ref="I5:I13" si="0">+(F5+F14)/2</f>
        <v>0.4</v>
      </c>
      <c r="J5" s="777">
        <f>$J$17</f>
        <v>1898</v>
      </c>
      <c r="K5" s="778">
        <f>+J5*I5/1000*2</f>
        <v>1.5184000000000002</v>
      </c>
      <c r="L5" s="778">
        <f>+K5/5</f>
        <v>0.30368000000000006</v>
      </c>
      <c r="M5" s="753">
        <f>+L5*$P$6</f>
        <v>0.21894812561007634</v>
      </c>
      <c r="P5" s="779" t="s">
        <v>248</v>
      </c>
    </row>
    <row r="6" spans="2:19" ht="17.25" hidden="1" thickBot="1">
      <c r="B6" s="780"/>
      <c r="C6" s="781" t="s">
        <v>249</v>
      </c>
      <c r="D6" s="782">
        <v>32.5</v>
      </c>
      <c r="E6" s="783">
        <v>11608</v>
      </c>
      <c r="F6" s="782">
        <v>11.4</v>
      </c>
      <c r="G6" s="784">
        <v>4088</v>
      </c>
      <c r="H6" s="775" t="s">
        <v>249</v>
      </c>
      <c r="I6" s="785">
        <f>+(F6+F15)/2</f>
        <v>23.55</v>
      </c>
      <c r="J6" s="785">
        <f>$K$17*10/30</f>
        <v>8314.3333333333339</v>
      </c>
      <c r="K6" s="785">
        <f t="shared" ref="K6:K12" si="1">+J6*I6/1000*2</f>
        <v>391.60510000000005</v>
      </c>
      <c r="L6" s="785">
        <f>+K6/5</f>
        <v>78.321020000000004</v>
      </c>
      <c r="M6" s="753">
        <f t="shared" ref="M6:M12" si="2">+L6*$P$6</f>
        <v>56.468126069775089</v>
      </c>
      <c r="P6" s="786">
        <f>2000/L13</f>
        <v>0.72098302690357052</v>
      </c>
    </row>
    <row r="7" spans="2:19" ht="16.5" hidden="1">
      <c r="B7" s="780"/>
      <c r="C7" s="781" t="s">
        <v>250</v>
      </c>
      <c r="D7" s="782">
        <v>49.1</v>
      </c>
      <c r="E7" s="783">
        <v>18463</v>
      </c>
      <c r="F7" s="782">
        <v>25.6</v>
      </c>
      <c r="G7" s="784">
        <v>9633</v>
      </c>
      <c r="H7" s="775" t="s">
        <v>250</v>
      </c>
      <c r="I7" s="785">
        <f t="shared" si="0"/>
        <v>45.05</v>
      </c>
      <c r="J7" s="785">
        <f>$K$17*10/30</f>
        <v>8314.3333333333339</v>
      </c>
      <c r="K7" s="785">
        <f t="shared" si="1"/>
        <v>749.12143333333336</v>
      </c>
      <c r="L7" s="785">
        <f t="shared" ref="L7:L12" si="3">+K7/5</f>
        <v>149.82428666666667</v>
      </c>
      <c r="M7" s="753">
        <f t="shared" si="2"/>
        <v>108.0207677046016</v>
      </c>
      <c r="P7" s="787"/>
    </row>
    <row r="8" spans="2:19" ht="16.5" hidden="1">
      <c r="B8" s="780"/>
      <c r="C8" s="781" t="s">
        <v>251</v>
      </c>
      <c r="D8" s="782">
        <v>37.200000000000003</v>
      </c>
      <c r="E8" s="783">
        <v>16316</v>
      </c>
      <c r="F8" s="782">
        <v>30.2</v>
      </c>
      <c r="G8" s="784">
        <v>13266</v>
      </c>
      <c r="H8" s="775" t="s">
        <v>251</v>
      </c>
      <c r="I8" s="785">
        <f t="shared" si="0"/>
        <v>48.45</v>
      </c>
      <c r="J8" s="785">
        <f>$K$17*10/30</f>
        <v>8314.3333333333339</v>
      </c>
      <c r="K8" s="785">
        <f t="shared" si="1"/>
        <v>805.65890000000013</v>
      </c>
      <c r="L8" s="785">
        <f t="shared" si="3"/>
        <v>161.13178000000002</v>
      </c>
      <c r="M8" s="753">
        <f t="shared" si="2"/>
        <v>116.17327847476022</v>
      </c>
      <c r="O8" s="788" t="s">
        <v>252</v>
      </c>
      <c r="P8" s="788"/>
      <c r="Q8" s="788"/>
      <c r="R8" s="788"/>
    </row>
    <row r="9" spans="2:19" ht="17.100000000000001" hidden="1" customHeight="1">
      <c r="B9" s="780"/>
      <c r="C9" s="781" t="s">
        <v>253</v>
      </c>
      <c r="D9" s="782">
        <v>33.700000000000003</v>
      </c>
      <c r="E9" s="783">
        <v>13188</v>
      </c>
      <c r="F9" s="782">
        <v>34.6</v>
      </c>
      <c r="G9" s="784">
        <v>13514</v>
      </c>
      <c r="H9" s="775" t="s">
        <v>253</v>
      </c>
      <c r="I9" s="785">
        <f t="shared" si="0"/>
        <v>46.35</v>
      </c>
      <c r="J9" s="785">
        <f>$L$17*0.5</f>
        <v>43115.5</v>
      </c>
      <c r="K9" s="785">
        <f t="shared" si="1"/>
        <v>3996.8068499999999</v>
      </c>
      <c r="L9" s="785">
        <f t="shared" si="3"/>
        <v>799.36136999999997</v>
      </c>
      <c r="M9" s="753">
        <f t="shared" si="2"/>
        <v>576.32598013238498</v>
      </c>
      <c r="O9" s="1401" t="s">
        <v>254</v>
      </c>
      <c r="P9" s="1401"/>
      <c r="Q9" s="788" t="s">
        <v>255</v>
      </c>
      <c r="R9" s="788"/>
    </row>
    <row r="10" spans="2:19" ht="16.5" hidden="1">
      <c r="B10" s="780"/>
      <c r="C10" s="781" t="s">
        <v>256</v>
      </c>
      <c r="D10" s="782">
        <v>32</v>
      </c>
      <c r="E10" s="783">
        <v>10336</v>
      </c>
      <c r="F10" s="782">
        <v>26.6</v>
      </c>
      <c r="G10" s="784">
        <v>8606</v>
      </c>
      <c r="H10" s="775" t="s">
        <v>256</v>
      </c>
      <c r="I10" s="785">
        <f t="shared" si="0"/>
        <v>34.450000000000003</v>
      </c>
      <c r="J10" s="785">
        <f>$L$17*0.5</f>
        <v>43115.5</v>
      </c>
      <c r="K10" s="785">
        <f t="shared" si="1"/>
        <v>2970.6579500000003</v>
      </c>
      <c r="L10" s="785">
        <f t="shared" si="3"/>
        <v>594.13159000000007</v>
      </c>
      <c r="M10" s="753">
        <f t="shared" si="2"/>
        <v>428.35879213723121</v>
      </c>
      <c r="O10" s="1401"/>
      <c r="P10" s="1401"/>
      <c r="Q10" s="788"/>
      <c r="R10" s="788">
        <f>+Q11/28000</f>
        <v>1.4285714285714285E-2</v>
      </c>
    </row>
    <row r="11" spans="2:19" ht="16.5" hidden="1">
      <c r="B11" s="780"/>
      <c r="C11" s="781" t="s">
        <v>257</v>
      </c>
      <c r="D11" s="782">
        <v>20.7</v>
      </c>
      <c r="E11" s="783">
        <v>4414</v>
      </c>
      <c r="F11" s="782">
        <v>14.8</v>
      </c>
      <c r="G11" s="784">
        <v>3166</v>
      </c>
      <c r="H11" s="775" t="s">
        <v>257</v>
      </c>
      <c r="I11" s="785">
        <f t="shared" si="0"/>
        <v>22.55</v>
      </c>
      <c r="J11" s="785">
        <f>$M$17/2</f>
        <v>52146.5</v>
      </c>
      <c r="K11" s="785">
        <f t="shared" si="1"/>
        <v>2351.8071500000001</v>
      </c>
      <c r="L11" s="785">
        <f t="shared" si="3"/>
        <v>470.36143000000004</v>
      </c>
      <c r="M11" s="753">
        <f t="shared" si="2"/>
        <v>339.12260754009191</v>
      </c>
      <c r="N11" s="789"/>
      <c r="O11" s="788" t="s">
        <v>258</v>
      </c>
      <c r="P11" s="788">
        <f>+M13*27098/225379</f>
        <v>240.46605939328865</v>
      </c>
      <c r="Q11" s="788">
        <v>400</v>
      </c>
      <c r="R11" s="788">
        <f>+Q12/199000</f>
        <v>8.0402010050251264E-3</v>
      </c>
    </row>
    <row r="12" spans="2:19" ht="16.5" hidden="1">
      <c r="B12" s="780"/>
      <c r="C12" s="781" t="s">
        <v>259</v>
      </c>
      <c r="D12" s="782">
        <v>26.1</v>
      </c>
      <c r="E12" s="783">
        <v>3755</v>
      </c>
      <c r="F12" s="782">
        <v>16</v>
      </c>
      <c r="G12" s="784">
        <v>2303</v>
      </c>
      <c r="H12" s="775" t="s">
        <v>259</v>
      </c>
      <c r="I12" s="785">
        <f t="shared" si="0"/>
        <v>20.75</v>
      </c>
      <c r="J12" s="785">
        <f>$M$17/2+10571</f>
        <v>62717.5</v>
      </c>
      <c r="K12" s="785">
        <f t="shared" si="1"/>
        <v>2602.7762499999999</v>
      </c>
      <c r="L12" s="785">
        <f t="shared" si="3"/>
        <v>520.55525</v>
      </c>
      <c r="M12" s="753">
        <f t="shared" si="2"/>
        <v>375.31149981554489</v>
      </c>
      <c r="N12" s="790"/>
      <c r="O12" s="788" t="s">
        <v>260</v>
      </c>
      <c r="P12" s="788">
        <f>+M13*198281/225379</f>
        <v>1759.5339406067114</v>
      </c>
      <c r="Q12" s="788">
        <v>1600</v>
      </c>
      <c r="R12" s="788"/>
    </row>
    <row r="13" spans="2:19" ht="17.25" hidden="1" thickBot="1">
      <c r="B13" s="791"/>
      <c r="C13" s="792" t="s">
        <v>261</v>
      </c>
      <c r="D13" s="793">
        <v>29.9</v>
      </c>
      <c r="E13" s="794">
        <v>80416</v>
      </c>
      <c r="F13" s="793">
        <v>20.5</v>
      </c>
      <c r="G13" s="795">
        <v>55180</v>
      </c>
      <c r="H13" s="796" t="s">
        <v>262</v>
      </c>
      <c r="I13" s="797">
        <f t="shared" si="0"/>
        <v>30.9</v>
      </c>
      <c r="J13" s="797">
        <f>O17</f>
        <v>227936</v>
      </c>
      <c r="K13" s="797">
        <f>SUM(K5:K12)</f>
        <v>13869.952033333335</v>
      </c>
      <c r="L13" s="797">
        <f>+K13/5</f>
        <v>2773.9904066666668</v>
      </c>
      <c r="M13" s="798">
        <f>SUM(M5:M12)</f>
        <v>2000</v>
      </c>
      <c r="O13" s="788"/>
      <c r="P13" s="788">
        <f>SUM(P11:P12)</f>
        <v>2000</v>
      </c>
      <c r="Q13" s="788">
        <f>SUM(Q11:Q12)</f>
        <v>2000</v>
      </c>
      <c r="R13" s="788"/>
    </row>
    <row r="14" spans="2:19" ht="33.75" hidden="1" thickBot="1">
      <c r="B14" s="780" t="s">
        <v>263</v>
      </c>
      <c r="C14" s="781" t="s">
        <v>246</v>
      </c>
      <c r="D14" s="782">
        <v>3.8</v>
      </c>
      <c r="E14" s="783">
        <v>1618</v>
      </c>
      <c r="F14" s="782">
        <v>0.2</v>
      </c>
      <c r="G14" s="799">
        <v>76</v>
      </c>
      <c r="I14" s="800"/>
      <c r="J14" s="801"/>
      <c r="K14" s="801"/>
      <c r="L14" s="801"/>
      <c r="M14" s="802"/>
      <c r="O14" s="788"/>
      <c r="P14" s="788"/>
      <c r="Q14" s="788"/>
      <c r="R14" s="788"/>
      <c r="S14" s="787"/>
    </row>
    <row r="15" spans="2:19" ht="18" hidden="1" thickTop="1" thickBot="1">
      <c r="B15" s="780"/>
      <c r="C15" s="781" t="s">
        <v>249</v>
      </c>
      <c r="D15" s="782">
        <v>63.1</v>
      </c>
      <c r="E15" s="783">
        <v>21999</v>
      </c>
      <c r="F15" s="782">
        <v>35.700000000000003</v>
      </c>
      <c r="G15" s="783">
        <v>12462</v>
      </c>
      <c r="H15" s="1370" t="s">
        <v>264</v>
      </c>
      <c r="I15" s="1371"/>
      <c r="J15" s="1371"/>
      <c r="K15" s="1371"/>
      <c r="L15" s="1371"/>
      <c r="M15" s="1371"/>
      <c r="N15" s="1371"/>
      <c r="O15" s="1372"/>
    </row>
    <row r="16" spans="2:19" ht="16.5" hidden="1">
      <c r="B16" s="780"/>
      <c r="C16" s="781" t="s">
        <v>250</v>
      </c>
      <c r="D16" s="782">
        <v>85.2</v>
      </c>
      <c r="E16" s="783">
        <v>30116</v>
      </c>
      <c r="F16" s="782">
        <v>64.5</v>
      </c>
      <c r="G16" s="783">
        <v>22800</v>
      </c>
      <c r="H16" s="803" t="s">
        <v>265</v>
      </c>
      <c r="I16" s="804"/>
      <c r="J16" s="805" t="s">
        <v>266</v>
      </c>
      <c r="K16" s="805" t="s">
        <v>267</v>
      </c>
      <c r="L16" s="805" t="s">
        <v>268</v>
      </c>
      <c r="M16" s="805" t="s">
        <v>269</v>
      </c>
      <c r="N16" s="806" t="s">
        <v>270</v>
      </c>
      <c r="O16" s="807" t="s">
        <v>661</v>
      </c>
    </row>
    <row r="17" spans="1:15" ht="16.5" hidden="1">
      <c r="B17" s="780"/>
      <c r="C17" s="781" t="s">
        <v>251</v>
      </c>
      <c r="D17" s="782">
        <v>88.8</v>
      </c>
      <c r="E17" s="783">
        <v>37140</v>
      </c>
      <c r="F17" s="782">
        <v>66.7</v>
      </c>
      <c r="G17" s="783">
        <v>27890</v>
      </c>
      <c r="H17" s="808">
        <v>2009</v>
      </c>
      <c r="I17" s="809" t="s">
        <v>271</v>
      </c>
      <c r="J17" s="785">
        <v>1898</v>
      </c>
      <c r="K17" s="785">
        <v>24943</v>
      </c>
      <c r="L17" s="785">
        <v>86231</v>
      </c>
      <c r="M17" s="785">
        <v>104293</v>
      </c>
      <c r="N17" s="785">
        <v>10571</v>
      </c>
      <c r="O17" s="810">
        <f>SUM(J17:N17)</f>
        <v>227936</v>
      </c>
    </row>
    <row r="18" spans="1:15" ht="17.25" hidden="1" thickBot="1">
      <c r="B18" s="780"/>
      <c r="C18" s="781" t="s">
        <v>253</v>
      </c>
      <c r="D18" s="782">
        <v>85</v>
      </c>
      <c r="E18" s="783">
        <v>32356</v>
      </c>
      <c r="F18" s="782">
        <v>58.1</v>
      </c>
      <c r="G18" s="783">
        <v>22104</v>
      </c>
      <c r="H18" s="811"/>
      <c r="I18" s="812" t="s">
        <v>272</v>
      </c>
      <c r="J18" s="813">
        <f>J17/$O$17</f>
        <v>8.3268987786045204E-3</v>
      </c>
      <c r="K18" s="813">
        <f>K17/$O$17</f>
        <v>0.1094298399550751</v>
      </c>
      <c r="L18" s="813">
        <f>L17/$O$17</f>
        <v>0.37831233328653657</v>
      </c>
      <c r="M18" s="813">
        <f>M17/$O$17</f>
        <v>0.45755387477186577</v>
      </c>
      <c r="N18" s="813">
        <f>N17/$O$17</f>
        <v>4.6377053207918011E-2</v>
      </c>
      <c r="O18" s="814">
        <f>SUM(J18:N18)</f>
        <v>1</v>
      </c>
    </row>
    <row r="19" spans="1:15" ht="17.25" hidden="1" thickTop="1">
      <c r="B19" s="780"/>
      <c r="C19" s="781" t="s">
        <v>256</v>
      </c>
      <c r="D19" s="782">
        <v>69.7</v>
      </c>
      <c r="E19" s="783">
        <v>22752</v>
      </c>
      <c r="F19" s="782">
        <v>42.3</v>
      </c>
      <c r="G19" s="784">
        <v>13814</v>
      </c>
    </row>
    <row r="20" spans="1:15" ht="16.5" hidden="1">
      <c r="B20" s="780"/>
      <c r="C20" s="781" t="s">
        <v>257</v>
      </c>
      <c r="D20" s="782">
        <v>57.9</v>
      </c>
      <c r="E20" s="783">
        <v>14337</v>
      </c>
      <c r="F20" s="782">
        <v>30.3</v>
      </c>
      <c r="G20" s="784">
        <v>7494</v>
      </c>
    </row>
    <row r="21" spans="1:15" ht="16.5" hidden="1">
      <c r="B21" s="780"/>
      <c r="C21" s="781" t="s">
        <v>273</v>
      </c>
      <c r="D21" s="782">
        <v>50.3</v>
      </c>
      <c r="E21" s="783">
        <v>12117</v>
      </c>
      <c r="F21" s="782">
        <v>25.5</v>
      </c>
      <c r="G21" s="784">
        <v>6153</v>
      </c>
    </row>
    <row r="22" spans="1:15" ht="16.5" hidden="1">
      <c r="B22" s="780"/>
      <c r="C22" s="815" t="s">
        <v>261</v>
      </c>
      <c r="D22" s="816">
        <v>63.2</v>
      </c>
      <c r="E22" s="817">
        <v>173075</v>
      </c>
      <c r="F22" s="816">
        <v>41.3</v>
      </c>
      <c r="G22" s="818">
        <v>112977</v>
      </c>
      <c r="H22" s="819"/>
      <c r="I22" s="819"/>
      <c r="J22" s="819"/>
      <c r="K22" s="820"/>
    </row>
    <row r="23" spans="1:15" ht="16.5" hidden="1">
      <c r="B23" s="780" t="s">
        <v>661</v>
      </c>
      <c r="C23" s="781"/>
      <c r="D23" s="782">
        <v>46.6</v>
      </c>
      <c r="E23" s="783">
        <v>253101</v>
      </c>
      <c r="F23" s="782">
        <v>31</v>
      </c>
      <c r="G23" s="784">
        <v>168047</v>
      </c>
      <c r="H23" s="819"/>
      <c r="I23" s="819"/>
      <c r="J23" s="819"/>
    </row>
    <row r="24" spans="1:15" ht="30" hidden="1" customHeight="1" thickBot="1">
      <c r="B24" s="1367" t="s">
        <v>275</v>
      </c>
      <c r="C24" s="1368"/>
      <c r="D24" s="1368"/>
      <c r="E24" s="1368"/>
      <c r="F24" s="1368"/>
      <c r="G24" s="1369"/>
    </row>
    <row r="25" spans="1:15" ht="39" hidden="1" customHeight="1">
      <c r="B25" s="759" t="s">
        <v>276</v>
      </c>
      <c r="J25" s="1416" t="s">
        <v>293</v>
      </c>
      <c r="K25" s="1416"/>
      <c r="L25" s="821">
        <v>8</v>
      </c>
    </row>
    <row r="26" spans="1:15" ht="16.5" hidden="1">
      <c r="B26" s="822" t="s">
        <v>277</v>
      </c>
    </row>
    <row r="27" spans="1:15" ht="17.25" hidden="1" thickBot="1">
      <c r="B27" s="822"/>
    </row>
    <row r="28" spans="1:15" ht="61.5" customHeight="1">
      <c r="B28" s="1168" t="s">
        <v>110</v>
      </c>
    </row>
    <row r="29" spans="1:15" ht="33" customHeight="1" thickBot="1">
      <c r="B29" s="822"/>
    </row>
    <row r="30" spans="1:15" ht="43.5" customHeight="1" thickTop="1" thickBot="1">
      <c r="B30" s="823" t="s">
        <v>789</v>
      </c>
      <c r="C30" s="824"/>
      <c r="D30" s="824"/>
      <c r="E30" s="1405" t="s">
        <v>278</v>
      </c>
      <c r="F30" s="1406"/>
      <c r="G30" s="1406"/>
      <c r="H30" s="1406"/>
      <c r="I30" s="1406"/>
      <c r="J30" s="1406"/>
      <c r="K30" s="1406"/>
      <c r="L30" s="825" t="s">
        <v>279</v>
      </c>
      <c r="M30" s="819"/>
      <c r="N30" s="819"/>
    </row>
    <row r="31" spans="1:15" s="827" customFormat="1" ht="48" customHeight="1" thickTop="1">
      <c r="A31" s="888"/>
      <c r="B31" s="1414" t="s">
        <v>280</v>
      </c>
      <c r="C31" s="1378" t="s">
        <v>697</v>
      </c>
      <c r="D31" s="1380" t="s">
        <v>690</v>
      </c>
      <c r="E31" s="1374" t="s">
        <v>220</v>
      </c>
      <c r="F31" s="1378" t="s">
        <v>698</v>
      </c>
      <c r="G31" s="1380" t="s">
        <v>690</v>
      </c>
      <c r="H31" s="1417" t="s">
        <v>220</v>
      </c>
      <c r="I31" s="1423" t="s">
        <v>281</v>
      </c>
      <c r="J31" s="1407" t="s">
        <v>282</v>
      </c>
      <c r="K31" s="1408"/>
      <c r="L31" s="1413" t="s">
        <v>325</v>
      </c>
      <c r="M31" s="826"/>
    </row>
    <row r="32" spans="1:15" s="827" customFormat="1" ht="11.25" customHeight="1" thickBot="1">
      <c r="A32" s="888"/>
      <c r="B32" s="1415"/>
      <c r="C32" s="1379"/>
      <c r="D32" s="1381"/>
      <c r="E32" s="1375"/>
      <c r="F32" s="1379"/>
      <c r="G32" s="1381"/>
      <c r="H32" s="1418"/>
      <c r="I32" s="1424"/>
      <c r="J32" s="1421">
        <v>8</v>
      </c>
      <c r="K32" s="1422"/>
      <c r="L32" s="1375"/>
      <c r="M32" s="826"/>
    </row>
    <row r="33" spans="1:13">
      <c r="A33" s="1223"/>
      <c r="B33" s="828" t="str">
        <f>'STEP 1.Select NHS Board'!A11</f>
        <v>Ayrshire &amp; Arran</v>
      </c>
      <c r="C33" s="724">
        <f>'STEP 1.Select NHS Board'!$D$11</f>
        <v>2234</v>
      </c>
      <c r="D33" s="726">
        <f>+$C$33/$C$47</f>
        <v>8.1631161618007084E-2</v>
      </c>
      <c r="E33" s="727">
        <f>+$D$33*$E$47</f>
        <v>32.652464647202834</v>
      </c>
      <c r="F33" s="728">
        <f>'STEP 1.Select NHS Board'!$I$11</f>
        <v>15754</v>
      </c>
      <c r="G33" s="729">
        <f>+$F$33/$F$47</f>
        <v>7.9060944274931752E-2</v>
      </c>
      <c r="H33" s="730">
        <f>+$G$33*$H$47</f>
        <v>126.49751083989081</v>
      </c>
      <c r="I33" s="731">
        <f>+$H$33+$E$33</f>
        <v>159.14997548709363</v>
      </c>
      <c r="J33" s="732">
        <f>+$I$33/$J$32</f>
        <v>19.893746935886703</v>
      </c>
      <c r="K33" s="1211">
        <f>ROUNDUP($J$33,0)</f>
        <v>20</v>
      </c>
      <c r="L33" s="1213">
        <v>1</v>
      </c>
    </row>
    <row r="34" spans="1:13">
      <c r="B34" s="828" t="str">
        <f>'STEP 1.Select NHS Board'!A12</f>
        <v>Borders</v>
      </c>
      <c r="C34" s="724">
        <f>'STEP 1.Select NHS Board'!$D$12</f>
        <v>596</v>
      </c>
      <c r="D34" s="726">
        <f>+$C$34/$C$47</f>
        <v>2.1778053860488911E-2</v>
      </c>
      <c r="E34" s="727">
        <f>+$D$34*$E$47</f>
        <v>8.7112215441955652</v>
      </c>
      <c r="F34" s="728">
        <f>'STEP 1.Select NHS Board'!$I$12</f>
        <v>4530</v>
      </c>
      <c r="G34" s="729">
        <f>+$F$34/$F$47</f>
        <v>2.2733659868315402E-2</v>
      </c>
      <c r="H34" s="730">
        <f>+$G$34*$H$47</f>
        <v>36.373855789304642</v>
      </c>
      <c r="I34" s="731">
        <f>+$H$34+$E$34</f>
        <v>45.085077333500209</v>
      </c>
      <c r="J34" s="732">
        <f>+$I$34/$J$32</f>
        <v>5.6356346666875261</v>
      </c>
      <c r="K34" s="1211">
        <f>ROUNDUP($J$34,0)</f>
        <v>6</v>
      </c>
      <c r="L34" s="1213">
        <v>1</v>
      </c>
    </row>
    <row r="35" spans="1:13">
      <c r="B35" s="828" t="str">
        <f>'STEP 1.Select NHS Board'!A13</f>
        <v>Dumfries &amp; Galloway</v>
      </c>
      <c r="C35" s="724">
        <f>'STEP 1.Select NHS Board'!$D$13</f>
        <v>871</v>
      </c>
      <c r="D35" s="726">
        <f>+$C$35/$C$47</f>
        <v>3.1826652537727922E-2</v>
      </c>
      <c r="E35" s="727">
        <f>+$D$35*$E$47</f>
        <v>12.730661015091169</v>
      </c>
      <c r="F35" s="728">
        <f>'STEP 1.Select NHS Board'!$I$13</f>
        <v>6453</v>
      </c>
      <c r="G35" s="729">
        <f>+$F$35/$F$47</f>
        <v>3.2384173759434719E-2</v>
      </c>
      <c r="H35" s="730">
        <f>+$G$35*$H$47</f>
        <v>51.814678015095552</v>
      </c>
      <c r="I35" s="731">
        <f>+$H$35+$E$35</f>
        <v>64.545339030186724</v>
      </c>
      <c r="J35" s="732">
        <f>+$I$35/$J$32</f>
        <v>8.0681673787733406</v>
      </c>
      <c r="K35" s="1211">
        <f>ROUNDUP($J$35,0)</f>
        <v>9</v>
      </c>
      <c r="L35" s="1213">
        <v>1</v>
      </c>
    </row>
    <row r="36" spans="1:13">
      <c r="B36" s="828" t="str">
        <f>'STEP 1.Select NHS Board'!A14</f>
        <v>Fife</v>
      </c>
      <c r="C36" s="724">
        <f>'STEP 1.Select NHS Board'!$D$14</f>
        <v>1896</v>
      </c>
      <c r="D36" s="726">
        <f>+$C$36/$C$47</f>
        <v>6.9280520334709689E-2</v>
      </c>
      <c r="E36" s="727">
        <f>+$D$36*$E$47</f>
        <v>27.712208133883877</v>
      </c>
      <c r="F36" s="728">
        <f>'STEP 1.Select NHS Board'!$I$14</f>
        <v>14718</v>
      </c>
      <c r="G36" s="729">
        <f>+$F$36/$F$47</f>
        <v>7.3861811466195595E-2</v>
      </c>
      <c r="H36" s="730">
        <f>+$G$36*$H$47</f>
        <v>118.17889834591296</v>
      </c>
      <c r="I36" s="731">
        <f>+$H$36+$E$36</f>
        <v>145.89110647979683</v>
      </c>
      <c r="J36" s="732">
        <f>+$I$36/$J$32</f>
        <v>18.236388309974604</v>
      </c>
      <c r="K36" s="1211">
        <f>ROUNDUP($J$36,0)</f>
        <v>19</v>
      </c>
      <c r="L36" s="1213">
        <v>1</v>
      </c>
    </row>
    <row r="37" spans="1:13">
      <c r="B37" s="828" t="str">
        <f>'STEP 1.Select NHS Board'!A15</f>
        <v>Forth Valley</v>
      </c>
      <c r="C37" s="724">
        <f>'STEP 1.Select NHS Board'!$D$15</f>
        <v>1526</v>
      </c>
      <c r="D37" s="726">
        <f>+$C$37/$C$47</f>
        <v>5.5760587568969927E-2</v>
      </c>
      <c r="E37" s="727">
        <f>+$D$37*$E$47</f>
        <v>22.304235027587971</v>
      </c>
      <c r="F37" s="728">
        <f>'STEP 1.Select NHS Board'!$I$15</f>
        <v>11543</v>
      </c>
      <c r="G37" s="729">
        <f>+$F$37/$F$47</f>
        <v>5.7928175686526417E-2</v>
      </c>
      <c r="H37" s="730">
        <f>+$G$37*$H$47</f>
        <v>92.685081098442268</v>
      </c>
      <c r="I37" s="731">
        <f>+$H$37+$E$37</f>
        <v>114.98931612603025</v>
      </c>
      <c r="J37" s="732">
        <f>+$I$37/$J$32</f>
        <v>14.373664515753781</v>
      </c>
      <c r="K37" s="1211">
        <f>ROUNDUP($J$37,0)</f>
        <v>15</v>
      </c>
      <c r="L37" s="1213">
        <v>1</v>
      </c>
    </row>
    <row r="38" spans="1:13">
      <c r="B38" s="828" t="str">
        <f>'STEP 1.Select NHS Board'!A16</f>
        <v>Grampian</v>
      </c>
      <c r="C38" s="724">
        <f>'STEP 1.Select NHS Board'!$D$16</f>
        <v>2976</v>
      </c>
      <c r="D38" s="726">
        <f>+$C$38/$C$47</f>
        <v>0.10874410786713926</v>
      </c>
      <c r="E38" s="727">
        <f>+$D$38*$E$47</f>
        <v>43.497643146855701</v>
      </c>
      <c r="F38" s="728">
        <f>'STEP 1.Select NHS Board'!$I$16</f>
        <v>19361</v>
      </c>
      <c r="G38" s="729">
        <f>+$F$38/$F$47</f>
        <v>9.7162558214228367E-2</v>
      </c>
      <c r="H38" s="730">
        <f>+$G$38*$H$47</f>
        <v>155.4600931427654</v>
      </c>
      <c r="I38" s="731">
        <f>+$H$38+$E$38</f>
        <v>198.9577362896211</v>
      </c>
      <c r="J38" s="732">
        <f>+$I$38/$J$32</f>
        <v>24.869717036202637</v>
      </c>
      <c r="K38" s="1211">
        <f>ROUNDUP($J$38,0)</f>
        <v>25</v>
      </c>
      <c r="L38" s="1213">
        <v>1</v>
      </c>
    </row>
    <row r="39" spans="1:13">
      <c r="B39" s="828" t="str">
        <f>'STEP 1.Select NHS Board'!A17</f>
        <v>Greater Glasgow &amp; Clyde</v>
      </c>
      <c r="C39" s="724">
        <f>'STEP 1.Select NHS Board'!$D$17</f>
        <v>5923</v>
      </c>
      <c r="D39" s="726">
        <f>+$C$39/$C$47</f>
        <v>0.21642854532831513</v>
      </c>
      <c r="E39" s="727">
        <f>+$D$39*$E$47</f>
        <v>86.571418131326055</v>
      </c>
      <c r="F39" s="728">
        <f>'STEP 1.Select NHS Board'!$I$17</f>
        <v>46345</v>
      </c>
      <c r="G39" s="729">
        <f>+$F$39/$F$47</f>
        <v>0.23258089770354906</v>
      </c>
      <c r="H39" s="730">
        <f>+$G$39*$H$47</f>
        <v>372.12943632567851</v>
      </c>
      <c r="I39" s="731">
        <f>+$H$39+$E$39</f>
        <v>458.70085445700454</v>
      </c>
      <c r="J39" s="732">
        <f>+$I$39/$J$32</f>
        <v>57.337606807125567</v>
      </c>
      <c r="K39" s="1211">
        <f>ROUNDUP($J$39,0)</f>
        <v>58</v>
      </c>
      <c r="L39" s="1213">
        <v>2</v>
      </c>
    </row>
    <row r="40" spans="1:13">
      <c r="B40" s="828" t="str">
        <f>'STEP 1.Select NHS Board'!A18</f>
        <v>Highland</v>
      </c>
      <c r="C40" s="724">
        <f>'STEP 1.Select NHS Board'!$D$18</f>
        <v>1688</v>
      </c>
      <c r="D40" s="726">
        <f>+$C$40/$C$47</f>
        <v>6.1680125698834361E-2</v>
      </c>
      <c r="E40" s="727">
        <f>+$D$40*$E$47</f>
        <v>24.672050279533746</v>
      </c>
      <c r="F40" s="728">
        <f>'STEP 1.Select NHS Board'!$I$18</f>
        <v>11470</v>
      </c>
      <c r="G40" s="729">
        <f>+$F$40/$F$47</f>
        <v>5.7561827525293076E-2</v>
      </c>
      <c r="H40" s="730">
        <f>+$G$40*$H$47</f>
        <v>92.098924040468916</v>
      </c>
      <c r="I40" s="731">
        <f>+$H$40+$E$40</f>
        <v>116.77097432000267</v>
      </c>
      <c r="J40" s="732">
        <f>+$I$40/$J$32</f>
        <v>14.596371790000333</v>
      </c>
      <c r="K40" s="1211">
        <f>ROUNDUP($J$40,0)</f>
        <v>15</v>
      </c>
      <c r="L40" s="1213">
        <v>1</v>
      </c>
    </row>
    <row r="41" spans="1:13">
      <c r="B41" s="828" t="str">
        <f>'STEP 1.Select NHS Board'!A19</f>
        <v>Lanarkshire</v>
      </c>
      <c r="C41" s="725">
        <f>'STEP 1.Select NHS Board'!$D$19</f>
        <v>3454</v>
      </c>
      <c r="D41" s="726">
        <f>+$C$41/$C$47</f>
        <v>0.12621039938612197</v>
      </c>
      <c r="E41" s="727">
        <f>+$D$41*$E$47</f>
        <v>50.48415975444879</v>
      </c>
      <c r="F41" s="728">
        <f>'STEP 1.Select NHS Board'!$I$19</f>
        <v>22794</v>
      </c>
      <c r="G41" s="729">
        <f>+$F$41/$F$47</f>
        <v>0.11439095872811948</v>
      </c>
      <c r="H41" s="730">
        <f>+$G$41*$H$47</f>
        <v>183.02553396499118</v>
      </c>
      <c r="I41" s="731">
        <f>+$H$41+$E$41</f>
        <v>233.50969371943998</v>
      </c>
      <c r="J41" s="732">
        <f>+$I$41/$J$32</f>
        <v>29.188711714929997</v>
      </c>
      <c r="K41" s="1211">
        <f>ROUNDUP($J$41,0)</f>
        <v>30</v>
      </c>
      <c r="L41" s="1213">
        <v>1</v>
      </c>
    </row>
    <row r="42" spans="1:13">
      <c r="B42" s="828" t="str">
        <f>'STEP 1.Select NHS Board'!A20</f>
        <v>Lothian</v>
      </c>
      <c r="C42" s="724">
        <f>'STEP 1.Select NHS Board'!$D$20</f>
        <v>4019</v>
      </c>
      <c r="D42" s="726">
        <f>+$C$42/$C$47</f>
        <v>0.14685570212299484</v>
      </c>
      <c r="E42" s="727">
        <f>+$D$42*$E$47</f>
        <v>58.74228084919794</v>
      </c>
      <c r="F42" s="728">
        <f>'STEP 1.Select NHS Board'!$I$20</f>
        <v>27506</v>
      </c>
      <c r="G42" s="729">
        <f>+$F$42/$F$47</f>
        <v>0.13803797976553717</v>
      </c>
      <c r="H42" s="730">
        <f>+$G$42*$H$47</f>
        <v>220.86076762485948</v>
      </c>
      <c r="I42" s="731">
        <f>+$H$42+$E$42</f>
        <v>279.6030484740574</v>
      </c>
      <c r="J42" s="732">
        <f>+$I$42/$J$32</f>
        <v>34.950381059257175</v>
      </c>
      <c r="K42" s="1211">
        <f>ROUNDUP($J$42,0)</f>
        <v>35</v>
      </c>
      <c r="L42" s="1213">
        <v>2</v>
      </c>
    </row>
    <row r="43" spans="1:13">
      <c r="B43" s="828" t="str">
        <f>'STEP 1.Select NHS Board'!A21</f>
        <v>Orkney</v>
      </c>
      <c r="C43" s="724">
        <f>'STEP 1.Select NHS Board'!$D$21</f>
        <v>118</v>
      </c>
      <c r="D43" s="726">
        <f>+$C$43/$C$47</f>
        <v>4.3117623415061933E-3</v>
      </c>
      <c r="E43" s="727">
        <f>+$D$43*$E$47</f>
        <v>1.7247049366024774</v>
      </c>
      <c r="F43" s="728">
        <f>'STEP 1.Select NHS Board'!$I$21</f>
        <v>776</v>
      </c>
      <c r="G43" s="729">
        <f>+$F$43/$F$47</f>
        <v>3.8943311385900114E-3</v>
      </c>
      <c r="H43" s="730">
        <f>+$G$43*$H$47</f>
        <v>6.2309298217440183</v>
      </c>
      <c r="I43" s="731">
        <f>+$H$43+$E$43</f>
        <v>7.9556347583464957</v>
      </c>
      <c r="J43" s="732">
        <f>+$I$43/$J$32</f>
        <v>0.99445434479331196</v>
      </c>
      <c r="K43" s="1211">
        <f>ROUNDUP($J$43,0)</f>
        <v>1</v>
      </c>
      <c r="L43" s="1213">
        <v>0</v>
      </c>
    </row>
    <row r="44" spans="1:13">
      <c r="B44" s="828" t="str">
        <f>'STEP 1.Select NHS Board'!A22</f>
        <v>Shetland</v>
      </c>
      <c r="C44" s="724">
        <f>'STEP 1.Select NHS Board'!$D$22</f>
        <v>114</v>
      </c>
      <c r="D44" s="726">
        <f>+$C$44/$C$47</f>
        <v>4.1656009062008992E-3</v>
      </c>
      <c r="E44" s="727">
        <f>+$D$44*$E$47</f>
        <v>1.6662403624803597</v>
      </c>
      <c r="F44" s="728">
        <f>'STEP 1.Select NHS Board'!$I$22</f>
        <v>792</v>
      </c>
      <c r="G44" s="729">
        <f>+$F$44/$F$47</f>
        <v>3.9746266259836193E-3</v>
      </c>
      <c r="H44" s="730">
        <f>+$G$44*$H$47</f>
        <v>6.359402601573791</v>
      </c>
      <c r="I44" s="731">
        <f>+$H$44+E44</f>
        <v>8.0256429640541498</v>
      </c>
      <c r="J44" s="732">
        <f>+$I$44/$J$32</f>
        <v>1.0032053705067687</v>
      </c>
      <c r="K44" s="1212">
        <v>1</v>
      </c>
      <c r="L44" s="1213">
        <v>0</v>
      </c>
    </row>
    <row r="45" spans="1:13">
      <c r="B45" s="828" t="str">
        <f>'STEP 1.Select NHS Board'!A23</f>
        <v>Tayside</v>
      </c>
      <c r="C45" s="724">
        <f>'STEP 1.Select NHS Board'!$D$23</f>
        <v>1771</v>
      </c>
      <c r="D45" s="726">
        <f>+$C$45/$C$47</f>
        <v>6.471297548141923E-2</v>
      </c>
      <c r="E45" s="727">
        <f>+$D$45*$E$47</f>
        <v>25.885190192567691</v>
      </c>
      <c r="F45" s="728">
        <f>'STEP 1.Select NHS Board'!$I$23</f>
        <v>16283</v>
      </c>
      <c r="G45" s="729">
        <f>+$F$45/$F$47</f>
        <v>8.1715713826882933E-2</v>
      </c>
      <c r="H45" s="730">
        <f>+$G$45*$H$47</f>
        <v>130.7451421230127</v>
      </c>
      <c r="I45" s="731">
        <f>+$H$45+$E$45</f>
        <v>156.6303323155804</v>
      </c>
      <c r="J45" s="732">
        <f>+$I$45/$J$32</f>
        <v>19.57879153944755</v>
      </c>
      <c r="K45" s="1211">
        <f>ROUNDUP($J$45,0)</f>
        <v>20</v>
      </c>
      <c r="L45" s="1213">
        <v>1</v>
      </c>
    </row>
    <row r="46" spans="1:13" ht="15" thickBot="1">
      <c r="B46" s="828" t="str">
        <f>'STEP 1.Select NHS Board'!A24</f>
        <v>Western Isles</v>
      </c>
      <c r="C46" s="724">
        <f>'STEP 1.Select NHS Board'!$D$24</f>
        <v>181</v>
      </c>
      <c r="D46" s="726">
        <f>+$C$46/$C$47</f>
        <v>6.613804947564585E-3</v>
      </c>
      <c r="E46" s="727">
        <f>+$D$46*$E$47</f>
        <v>2.6455219790258342</v>
      </c>
      <c r="F46" s="728">
        <f>'STEP 1.Select NHS Board'!$I$24</f>
        <v>939</v>
      </c>
      <c r="G46" s="729">
        <f>+$F$46/$F$47</f>
        <v>4.7123414164123977E-3</v>
      </c>
      <c r="H46" s="730">
        <f>+$G$46*$H$47</f>
        <v>7.5397462662598365</v>
      </c>
      <c r="I46" s="731">
        <f>+$H$46+$E$46</f>
        <v>10.18526824528567</v>
      </c>
      <c r="J46" s="732">
        <f>+$I$46/$J$32</f>
        <v>1.2731585306607087</v>
      </c>
      <c r="K46" s="1212">
        <v>1</v>
      </c>
      <c r="L46" s="1213">
        <v>0</v>
      </c>
    </row>
    <row r="47" spans="1:13" ht="15.75" thickBot="1">
      <c r="B47" s="829" t="s">
        <v>813</v>
      </c>
      <c r="C47" s="735">
        <v>27367</v>
      </c>
      <c r="D47" s="736">
        <f>SUM(D33:D46)</f>
        <v>1</v>
      </c>
      <c r="E47" s="737">
        <v>400</v>
      </c>
      <c r="F47" s="738">
        <f>SUM(F33:F46)</f>
        <v>199264</v>
      </c>
      <c r="G47" s="739">
        <f>+F47/$F$47</f>
        <v>1</v>
      </c>
      <c r="H47" s="740">
        <v>1600</v>
      </c>
      <c r="I47" s="733">
        <f>SUM($I$33:$I$46)</f>
        <v>2000.0000000000002</v>
      </c>
      <c r="J47" s="734">
        <f>+$I$47/$J$32</f>
        <v>250.00000000000003</v>
      </c>
      <c r="K47" s="741">
        <f>SUM($K$33:$K$46)</f>
        <v>255</v>
      </c>
      <c r="L47" s="742">
        <f>SUM(L33:L46)</f>
        <v>13</v>
      </c>
    </row>
    <row r="48" spans="1:13" ht="15.75" thickTop="1">
      <c r="E48" s="830"/>
      <c r="F48" s="831" t="s">
        <v>786</v>
      </c>
      <c r="G48" s="787"/>
      <c r="H48" s="830"/>
      <c r="I48" s="831" t="s">
        <v>786</v>
      </c>
      <c r="M48" s="819"/>
    </row>
    <row r="49" spans="2:15">
      <c r="B49" s="759" t="s">
        <v>283</v>
      </c>
      <c r="E49" s="1194">
        <f>1550/2</f>
        <v>775</v>
      </c>
      <c r="F49" s="759" t="s">
        <v>284</v>
      </c>
    </row>
    <row r="50" spans="2:15">
      <c r="B50" s="759" t="s">
        <v>285</v>
      </c>
      <c r="E50" s="1195">
        <f>+E49/3</f>
        <v>258.33333333333331</v>
      </c>
      <c r="F50" s="759" t="s">
        <v>286</v>
      </c>
    </row>
    <row r="51" spans="2:15" ht="15" thickBot="1"/>
    <row r="52" spans="2:15" ht="15.75" thickBot="1">
      <c r="B52" s="1216" t="s">
        <v>328</v>
      </c>
      <c r="C52" s="1217"/>
      <c r="D52" s="1218"/>
      <c r="F52" s="1216" t="s">
        <v>323</v>
      </c>
      <c r="G52" s="1217"/>
      <c r="H52" s="1218"/>
    </row>
    <row r="53" spans="2:15" ht="32.25" customHeight="1">
      <c r="B53" s="1220" t="s">
        <v>326</v>
      </c>
      <c r="C53" s="804"/>
      <c r="D53" s="1221">
        <v>6</v>
      </c>
      <c r="F53" s="1376" t="s">
        <v>331</v>
      </c>
      <c r="G53" s="1377"/>
      <c r="H53" s="1232">
        <v>2</v>
      </c>
    </row>
    <row r="54" spans="2:15" ht="15.75" thickBot="1">
      <c r="B54" s="887" t="s">
        <v>545</v>
      </c>
      <c r="C54" s="819"/>
      <c r="D54" s="1215">
        <v>1</v>
      </c>
      <c r="F54" s="1229" t="s">
        <v>498</v>
      </c>
      <c r="G54" s="1230"/>
      <c r="H54" s="1231">
        <v>7.5</v>
      </c>
    </row>
    <row r="55" spans="2:15" ht="48" customHeight="1" thickBot="1">
      <c r="B55" s="1399" t="s">
        <v>327</v>
      </c>
      <c r="C55" s="1373"/>
      <c r="D55" s="1222">
        <v>1</v>
      </c>
      <c r="F55" s="1373"/>
      <c r="G55" s="1373"/>
      <c r="H55" s="1219"/>
    </row>
    <row r="56" spans="2:15" ht="19.5" customHeight="1" thickBot="1">
      <c r="B56" s="1224" t="s">
        <v>329</v>
      </c>
      <c r="C56" s="1225"/>
      <c r="D56" s="1226">
        <f>$D$53*$D$54+$D$53*$D$55</f>
        <v>12</v>
      </c>
    </row>
    <row r="58" spans="2:15" ht="42.75" customHeight="1" thickBot="1">
      <c r="B58" s="1400" t="s">
        <v>330</v>
      </c>
      <c r="C58" s="1400"/>
      <c r="D58" s="1214">
        <v>4</v>
      </c>
    </row>
    <row r="59" spans="2:15" ht="17.25" customHeight="1" thickTop="1" thickBot="1">
      <c r="B59" s="832" t="s">
        <v>287</v>
      </c>
      <c r="C59" s="833"/>
      <c r="D59" s="834"/>
      <c r="E59" s="1402" t="s">
        <v>288</v>
      </c>
      <c r="F59" s="1371"/>
      <c r="G59" s="1371"/>
      <c r="H59" s="1420"/>
      <c r="I59" s="1402" t="s">
        <v>288</v>
      </c>
      <c r="J59" s="1371"/>
      <c r="K59" s="1371"/>
      <c r="L59" s="1372"/>
    </row>
    <row r="60" spans="2:15" ht="30" customHeight="1">
      <c r="B60" s="1384" t="s">
        <v>280</v>
      </c>
      <c r="C60" s="1385"/>
      <c r="D60" s="1382" t="s">
        <v>332</v>
      </c>
      <c r="E60" s="1409" t="s">
        <v>289</v>
      </c>
      <c r="F60" s="1382" t="s">
        <v>290</v>
      </c>
      <c r="G60" s="1419" t="s">
        <v>323</v>
      </c>
      <c r="H60" s="1389" t="s">
        <v>676</v>
      </c>
      <c r="I60" s="1382" t="s">
        <v>790</v>
      </c>
      <c r="J60" s="1425" t="s">
        <v>791</v>
      </c>
      <c r="K60" s="1425" t="s">
        <v>323</v>
      </c>
      <c r="L60" s="1411" t="s">
        <v>661</v>
      </c>
      <c r="M60" s="819"/>
    </row>
    <row r="61" spans="2:15" ht="26.25" customHeight="1" thickBot="1">
      <c r="B61" s="1386"/>
      <c r="C61" s="1387"/>
      <c r="D61" s="1383"/>
      <c r="E61" s="1410"/>
      <c r="F61" s="1383"/>
      <c r="G61" s="1383"/>
      <c r="H61" s="1390"/>
      <c r="I61" s="1383"/>
      <c r="J61" s="1426"/>
      <c r="K61" s="1426"/>
      <c r="L61" s="1412"/>
      <c r="N61" s="819"/>
      <c r="O61" s="819"/>
    </row>
    <row r="62" spans="2:15">
      <c r="B62" s="828" t="str">
        <f>'STEP 1.Select NHS Board'!A11</f>
        <v>Ayrshire &amp; Arran</v>
      </c>
      <c r="C62" s="835"/>
      <c r="D62" s="743">
        <f>+$K$33*$D$56</f>
        <v>240</v>
      </c>
      <c r="E62" s="881">
        <f>+F62</f>
        <v>48</v>
      </c>
      <c r="F62" s="743">
        <f>+$D$58*12*L33</f>
        <v>48</v>
      </c>
      <c r="G62" s="743">
        <f t="shared" ref="G62:G75" si="4">+K33*$H$53*$H$54</f>
        <v>300</v>
      </c>
      <c r="H62" s="753">
        <f>+$D$62+$F$62+$G$62+$E$62</f>
        <v>636</v>
      </c>
      <c r="I62" s="754">
        <f t="shared" ref="I62:I71" si="5">D62*$J$84</f>
        <v>6000</v>
      </c>
      <c r="J62" s="754">
        <f t="shared" ref="J62:J71" si="6">(E62*$J$84)+(F62*$O$83)</f>
        <v>3585.9764363636368</v>
      </c>
      <c r="K62" s="754">
        <v>3912.5714285714284</v>
      </c>
      <c r="L62" s="755">
        <f t="shared" ref="L62:L76" si="7">+I62+J62+K62</f>
        <v>13498.547864935066</v>
      </c>
      <c r="M62" s="831"/>
      <c r="N62" s="836"/>
      <c r="O62" s="819"/>
    </row>
    <row r="63" spans="2:15">
      <c r="B63" s="828" t="str">
        <f>'STEP 1.Select NHS Board'!A12</f>
        <v>Borders</v>
      </c>
      <c r="C63" s="835"/>
      <c r="D63" s="743">
        <f>+$K$34*$D$56</f>
        <v>72</v>
      </c>
      <c r="E63" s="881">
        <f t="shared" ref="E63:E75" si="8">+F63</f>
        <v>48</v>
      </c>
      <c r="F63" s="743">
        <f t="shared" ref="F63:F75" si="9">+$D$58*12*L34</f>
        <v>48</v>
      </c>
      <c r="G63" s="743">
        <f t="shared" si="4"/>
        <v>90</v>
      </c>
      <c r="H63" s="753">
        <f>+$D$63+$F$63+$G$63+$E$63</f>
        <v>258</v>
      </c>
      <c r="I63" s="754">
        <f t="shared" si="5"/>
        <v>1800</v>
      </c>
      <c r="J63" s="754">
        <f t="shared" si="6"/>
        <v>3585.9764363636368</v>
      </c>
      <c r="K63" s="754">
        <v>1173.7714285714285</v>
      </c>
      <c r="L63" s="755">
        <f t="shared" si="7"/>
        <v>6559.7478649350651</v>
      </c>
      <c r="M63" s="831"/>
      <c r="N63" s="836"/>
      <c r="O63" s="819"/>
    </row>
    <row r="64" spans="2:15">
      <c r="B64" s="828" t="str">
        <f>'STEP 1.Select NHS Board'!A13</f>
        <v>Dumfries &amp; Galloway</v>
      </c>
      <c r="C64" s="835"/>
      <c r="D64" s="743">
        <f>+$K$35*$D$56</f>
        <v>108</v>
      </c>
      <c r="E64" s="881">
        <f t="shared" si="8"/>
        <v>48</v>
      </c>
      <c r="F64" s="743">
        <f t="shared" si="9"/>
        <v>48</v>
      </c>
      <c r="G64" s="743">
        <f t="shared" si="4"/>
        <v>135</v>
      </c>
      <c r="H64" s="753">
        <f>+$D$64+$F$64+$G$64+$E$64</f>
        <v>339</v>
      </c>
      <c r="I64" s="754">
        <f t="shared" si="5"/>
        <v>2700</v>
      </c>
      <c r="J64" s="754">
        <f t="shared" si="6"/>
        <v>3585.9764363636368</v>
      </c>
      <c r="K64" s="754">
        <v>1760.6571428571428</v>
      </c>
      <c r="L64" s="755">
        <f t="shared" si="7"/>
        <v>8046.6335792207792</v>
      </c>
      <c r="M64" s="831"/>
      <c r="N64" s="836"/>
      <c r="O64" s="819"/>
    </row>
    <row r="65" spans="1:15">
      <c r="B65" s="828" t="str">
        <f>'STEP 1.Select NHS Board'!A14</f>
        <v>Fife</v>
      </c>
      <c r="C65" s="835"/>
      <c r="D65" s="743">
        <f>+$K$36*$D$56</f>
        <v>228</v>
      </c>
      <c r="E65" s="881">
        <f t="shared" si="8"/>
        <v>48</v>
      </c>
      <c r="F65" s="743">
        <f t="shared" si="9"/>
        <v>48</v>
      </c>
      <c r="G65" s="743">
        <f t="shared" si="4"/>
        <v>285</v>
      </c>
      <c r="H65" s="753">
        <f t="shared" ref="H65:H75" si="10">+D65+F65+G65+E65</f>
        <v>609</v>
      </c>
      <c r="I65" s="754">
        <f t="shared" si="5"/>
        <v>5700</v>
      </c>
      <c r="J65" s="754">
        <f t="shared" si="6"/>
        <v>3585.9764363636368</v>
      </c>
      <c r="K65" s="754">
        <v>3716.9428571428571</v>
      </c>
      <c r="L65" s="755">
        <f t="shared" si="7"/>
        <v>13002.919293506493</v>
      </c>
      <c r="M65" s="831"/>
      <c r="N65" s="836"/>
      <c r="O65" s="819"/>
    </row>
    <row r="66" spans="1:15">
      <c r="B66" s="828" t="str">
        <f>'STEP 1.Select NHS Board'!A15</f>
        <v>Forth Valley</v>
      </c>
      <c r="C66" s="835"/>
      <c r="D66" s="743">
        <f>+$K$37*$D$56</f>
        <v>180</v>
      </c>
      <c r="E66" s="881">
        <f t="shared" si="8"/>
        <v>48</v>
      </c>
      <c r="F66" s="743">
        <f t="shared" si="9"/>
        <v>48</v>
      </c>
      <c r="G66" s="743">
        <f t="shared" si="4"/>
        <v>225</v>
      </c>
      <c r="H66" s="753">
        <f t="shared" si="10"/>
        <v>501</v>
      </c>
      <c r="I66" s="754">
        <f t="shared" si="5"/>
        <v>4500</v>
      </c>
      <c r="J66" s="754">
        <f t="shared" si="6"/>
        <v>3585.9764363636368</v>
      </c>
      <c r="K66" s="754">
        <v>2934.4285714285716</v>
      </c>
      <c r="L66" s="755">
        <f t="shared" si="7"/>
        <v>11020.405007792207</v>
      </c>
      <c r="M66" s="831"/>
      <c r="N66" s="836"/>
      <c r="O66" s="819"/>
    </row>
    <row r="67" spans="1:15">
      <c r="B67" s="828" t="str">
        <f>'STEP 1.Select NHS Board'!A16</f>
        <v>Grampian</v>
      </c>
      <c r="C67" s="835"/>
      <c r="D67" s="743">
        <f>+$K$38*$D$56</f>
        <v>300</v>
      </c>
      <c r="E67" s="881">
        <f t="shared" si="8"/>
        <v>48</v>
      </c>
      <c r="F67" s="743">
        <f t="shared" si="9"/>
        <v>48</v>
      </c>
      <c r="G67" s="743">
        <f t="shared" si="4"/>
        <v>375</v>
      </c>
      <c r="H67" s="753">
        <f t="shared" si="10"/>
        <v>771</v>
      </c>
      <c r="I67" s="754">
        <f t="shared" si="5"/>
        <v>7500</v>
      </c>
      <c r="J67" s="754">
        <f t="shared" si="6"/>
        <v>3585.9764363636368</v>
      </c>
      <c r="K67" s="754">
        <v>4890.7142857142862</v>
      </c>
      <c r="L67" s="755">
        <f t="shared" si="7"/>
        <v>15976.690722077923</v>
      </c>
      <c r="M67" s="831"/>
      <c r="N67" s="836"/>
      <c r="O67" s="819"/>
    </row>
    <row r="68" spans="1:15">
      <c r="B68" s="828" t="str">
        <f>'STEP 1.Select NHS Board'!A17</f>
        <v>Greater Glasgow &amp; Clyde</v>
      </c>
      <c r="C68" s="835"/>
      <c r="D68" s="743">
        <f>+$K$39*$D$56</f>
        <v>696</v>
      </c>
      <c r="E68" s="881">
        <f t="shared" si="8"/>
        <v>96</v>
      </c>
      <c r="F68" s="743">
        <f t="shared" si="9"/>
        <v>96</v>
      </c>
      <c r="G68" s="743">
        <f t="shared" si="4"/>
        <v>870</v>
      </c>
      <c r="H68" s="753">
        <f t="shared" si="10"/>
        <v>1758</v>
      </c>
      <c r="I68" s="754">
        <f t="shared" si="5"/>
        <v>17400</v>
      </c>
      <c r="J68" s="754">
        <f t="shared" si="6"/>
        <v>7171.9528727272736</v>
      </c>
      <c r="K68" s="754">
        <v>11346.457142857143</v>
      </c>
      <c r="L68" s="755">
        <f t="shared" si="7"/>
        <v>35918.410015584421</v>
      </c>
      <c r="M68" s="831"/>
      <c r="N68" s="836"/>
      <c r="O68" s="819"/>
    </row>
    <row r="69" spans="1:15">
      <c r="B69" s="828" t="str">
        <f>'STEP 1.Select NHS Board'!A18</f>
        <v>Highland</v>
      </c>
      <c r="C69" s="835"/>
      <c r="D69" s="743">
        <f>+$K$40*$D$56</f>
        <v>180</v>
      </c>
      <c r="E69" s="881">
        <f t="shared" si="8"/>
        <v>48</v>
      </c>
      <c r="F69" s="743">
        <f t="shared" si="9"/>
        <v>48</v>
      </c>
      <c r="G69" s="743">
        <f t="shared" si="4"/>
        <v>225</v>
      </c>
      <c r="H69" s="753">
        <f t="shared" si="10"/>
        <v>501</v>
      </c>
      <c r="I69" s="754">
        <f t="shared" si="5"/>
        <v>4500</v>
      </c>
      <c r="J69" s="754">
        <f t="shared" si="6"/>
        <v>3585.9764363636368</v>
      </c>
      <c r="K69" s="754">
        <v>2934.4285714285716</v>
      </c>
      <c r="L69" s="755">
        <f t="shared" si="7"/>
        <v>11020.405007792207</v>
      </c>
      <c r="M69" s="831"/>
      <c r="N69" s="836"/>
      <c r="O69" s="819"/>
    </row>
    <row r="70" spans="1:15">
      <c r="B70" s="828" t="str">
        <f>'STEP 1.Select NHS Board'!A19</f>
        <v>Lanarkshire</v>
      </c>
      <c r="C70" s="835"/>
      <c r="D70" s="743">
        <f>+$K$41*$D$56</f>
        <v>360</v>
      </c>
      <c r="E70" s="881">
        <f t="shared" si="8"/>
        <v>48</v>
      </c>
      <c r="F70" s="743">
        <f t="shared" si="9"/>
        <v>48</v>
      </c>
      <c r="G70" s="743">
        <f t="shared" si="4"/>
        <v>450</v>
      </c>
      <c r="H70" s="753">
        <f t="shared" si="10"/>
        <v>906</v>
      </c>
      <c r="I70" s="754">
        <f t="shared" si="5"/>
        <v>9000</v>
      </c>
      <c r="J70" s="754">
        <f t="shared" si="6"/>
        <v>3585.9764363636368</v>
      </c>
      <c r="K70" s="754">
        <v>5868.8571428571431</v>
      </c>
      <c r="L70" s="755">
        <f t="shared" si="7"/>
        <v>18454.83357922078</v>
      </c>
      <c r="M70" s="831"/>
      <c r="N70" s="836"/>
      <c r="O70" s="819"/>
    </row>
    <row r="71" spans="1:15">
      <c r="B71" s="828" t="str">
        <f>'STEP 1.Select NHS Board'!A20</f>
        <v>Lothian</v>
      </c>
      <c r="C71" s="835"/>
      <c r="D71" s="743">
        <f>+$K$42*$D$56</f>
        <v>420</v>
      </c>
      <c r="E71" s="881">
        <f t="shared" si="8"/>
        <v>96</v>
      </c>
      <c r="F71" s="743">
        <f t="shared" si="9"/>
        <v>96</v>
      </c>
      <c r="G71" s="743">
        <f t="shared" si="4"/>
        <v>525</v>
      </c>
      <c r="H71" s="753">
        <f t="shared" si="10"/>
        <v>1137</v>
      </c>
      <c r="I71" s="754">
        <f t="shared" si="5"/>
        <v>10500</v>
      </c>
      <c r="J71" s="754">
        <f t="shared" si="6"/>
        <v>7171.9528727272736</v>
      </c>
      <c r="K71" s="754">
        <v>6847</v>
      </c>
      <c r="L71" s="755">
        <f t="shared" si="7"/>
        <v>24518.952872727274</v>
      </c>
      <c r="M71" s="831"/>
      <c r="N71" s="836"/>
      <c r="O71" s="819"/>
    </row>
    <row r="72" spans="1:15">
      <c r="A72" s="759">
        <v>1</v>
      </c>
      <c r="B72" s="828" t="str">
        <f>'STEP 1.Select NHS Board'!A21</f>
        <v>Orkney</v>
      </c>
      <c r="C72" s="835"/>
      <c r="D72" s="743">
        <v>0</v>
      </c>
      <c r="E72" s="881">
        <f t="shared" si="8"/>
        <v>0</v>
      </c>
      <c r="F72" s="743">
        <f t="shared" si="9"/>
        <v>0</v>
      </c>
      <c r="G72" s="743">
        <f t="shared" si="4"/>
        <v>15</v>
      </c>
      <c r="H72" s="753">
        <f t="shared" si="10"/>
        <v>15</v>
      </c>
      <c r="I72" s="754">
        <f>+I73</f>
        <v>699.77394912468606</v>
      </c>
      <c r="J72" s="754">
        <v>0</v>
      </c>
      <c r="K72" s="754">
        <v>195.62857142857143</v>
      </c>
      <c r="L72" s="755">
        <f t="shared" si="7"/>
        <v>895.40252055325755</v>
      </c>
      <c r="M72" s="831"/>
      <c r="N72" s="836"/>
      <c r="O72" s="819"/>
    </row>
    <row r="73" spans="1:15">
      <c r="B73" s="828" t="str">
        <f>'STEP 1.Select NHS Board'!A22</f>
        <v>Shetland</v>
      </c>
      <c r="C73" s="835"/>
      <c r="D73" s="743">
        <v>0</v>
      </c>
      <c r="E73" s="881">
        <f t="shared" si="8"/>
        <v>0</v>
      </c>
      <c r="F73" s="743">
        <f t="shared" si="9"/>
        <v>0</v>
      </c>
      <c r="G73" s="743">
        <f t="shared" si="4"/>
        <v>15</v>
      </c>
      <c r="H73" s="753">
        <f t="shared" si="10"/>
        <v>15</v>
      </c>
      <c r="I73" s="754">
        <f>+I44*$M$76</f>
        <v>699.77394912468606</v>
      </c>
      <c r="J73" s="754">
        <v>0</v>
      </c>
      <c r="K73" s="754">
        <v>195.62857142857143</v>
      </c>
      <c r="L73" s="755">
        <f t="shared" si="7"/>
        <v>895.40252055325755</v>
      </c>
      <c r="M73" s="831"/>
      <c r="N73" s="836"/>
      <c r="O73" s="819"/>
    </row>
    <row r="74" spans="1:15">
      <c r="B74" s="828" t="str">
        <f>'STEP 1.Select NHS Board'!A23</f>
        <v>Tayside</v>
      </c>
      <c r="C74" s="835"/>
      <c r="D74" s="743">
        <f>+$K$45*$D$56</f>
        <v>240</v>
      </c>
      <c r="E74" s="881">
        <f t="shared" si="8"/>
        <v>48</v>
      </c>
      <c r="F74" s="743">
        <f t="shared" si="9"/>
        <v>48</v>
      </c>
      <c r="G74" s="743">
        <f t="shared" si="4"/>
        <v>300</v>
      </c>
      <c r="H74" s="753">
        <f t="shared" si="10"/>
        <v>636</v>
      </c>
      <c r="I74" s="754">
        <v>6000</v>
      </c>
      <c r="J74" s="754">
        <f>(E74*$J$84)+(F74*$O$83)</f>
        <v>3585.9764363636368</v>
      </c>
      <c r="K74" s="754">
        <v>3912.5714285714284</v>
      </c>
      <c r="L74" s="755">
        <f t="shared" si="7"/>
        <v>13498.547864935066</v>
      </c>
      <c r="M74" s="831"/>
      <c r="N74" s="836"/>
      <c r="O74" s="819"/>
    </row>
    <row r="75" spans="1:15" ht="15" thickBot="1">
      <c r="B75" s="828" t="str">
        <f>'STEP 1.Select NHS Board'!A24</f>
        <v>Western Isles</v>
      </c>
      <c r="C75" s="835"/>
      <c r="D75" s="743">
        <v>0</v>
      </c>
      <c r="E75" s="881">
        <f t="shared" si="8"/>
        <v>0</v>
      </c>
      <c r="F75" s="743">
        <f t="shared" si="9"/>
        <v>0</v>
      </c>
      <c r="G75" s="743">
        <f t="shared" si="4"/>
        <v>15</v>
      </c>
      <c r="H75" s="753">
        <f t="shared" si="10"/>
        <v>15</v>
      </c>
      <c r="I75" s="754">
        <f>+I46*$M$76</f>
        <v>888.07655845400564</v>
      </c>
      <c r="J75" s="754">
        <v>0</v>
      </c>
      <c r="K75" s="754">
        <v>195.62857142857143</v>
      </c>
      <c r="L75" s="755">
        <f t="shared" si="7"/>
        <v>1083.705129882577</v>
      </c>
      <c r="M75" s="831"/>
      <c r="N75" s="836"/>
      <c r="O75" s="819"/>
    </row>
    <row r="76" spans="1:15" s="750" customFormat="1" ht="26.25" thickBot="1">
      <c r="B76" s="745" t="s">
        <v>813</v>
      </c>
      <c r="C76" s="746"/>
      <c r="D76" s="1227">
        <f>SUM(D62:D75)</f>
        <v>3024</v>
      </c>
      <c r="E76" s="1228">
        <f>SUM(E61:E75)</f>
        <v>624</v>
      </c>
      <c r="F76" s="1227">
        <f>SUM(F61:F75)</f>
        <v>624</v>
      </c>
      <c r="G76" s="1227">
        <f>SUM(G62:G75)</f>
        <v>3825</v>
      </c>
      <c r="H76" s="752">
        <f>SUM(H62:H75)</f>
        <v>8097</v>
      </c>
      <c r="I76" s="747">
        <f>SUM(I62:I75)</f>
        <v>77887.624456703386</v>
      </c>
      <c r="J76" s="747">
        <f>SUM(J62:J75)</f>
        <v>46617.69367272727</v>
      </c>
      <c r="K76" s="747">
        <f>SUM(K62:K75)</f>
        <v>49885.28571428571</v>
      </c>
      <c r="L76" s="751">
        <f t="shared" si="7"/>
        <v>174390.60384371638</v>
      </c>
      <c r="M76" s="748">
        <f>172103/(M13-I46-I44-I43)</f>
        <v>87.192260141509649</v>
      </c>
      <c r="N76" s="744" t="s">
        <v>291</v>
      </c>
      <c r="O76" s="749"/>
    </row>
    <row r="77" spans="1:15" ht="15.75" thickTop="1" thickBot="1">
      <c r="E77" s="837"/>
      <c r="F77" s="837" t="s">
        <v>786</v>
      </c>
      <c r="H77" s="831" t="s">
        <v>786</v>
      </c>
      <c r="I77" s="838"/>
      <c r="J77" s="839"/>
      <c r="K77" s="839"/>
      <c r="L77" s="838"/>
      <c r="M77" s="838"/>
    </row>
    <row r="78" spans="1:15" ht="15.75">
      <c r="E78" s="831"/>
      <c r="F78" s="840" t="s">
        <v>306</v>
      </c>
      <c r="G78" s="841"/>
      <c r="H78" s="841"/>
      <c r="I78" s="841"/>
      <c r="J78" s="842"/>
      <c r="K78" s="838"/>
    </row>
    <row r="79" spans="1:15" s="844" customFormat="1" ht="18.75" thickBot="1">
      <c r="B79" s="843" t="s">
        <v>292</v>
      </c>
      <c r="F79" s="845" t="s">
        <v>307</v>
      </c>
      <c r="G79" s="877"/>
      <c r="H79" s="443"/>
      <c r="I79" s="443"/>
      <c r="J79" s="846"/>
    </row>
    <row r="80" spans="1:15" s="844" customFormat="1" ht="18.75" thickBot="1">
      <c r="B80" s="843"/>
      <c r="F80" s="446" t="s">
        <v>444</v>
      </c>
      <c r="G80" s="443" t="s">
        <v>301</v>
      </c>
      <c r="H80" s="443" t="s">
        <v>445</v>
      </c>
      <c r="I80" s="443"/>
      <c r="J80" s="882">
        <f>+(0.2*26839)+(0.3*30762)+(0.5*36719)</f>
        <v>32955.9</v>
      </c>
      <c r="L80" s="840" t="s">
        <v>310</v>
      </c>
      <c r="M80" s="841"/>
      <c r="N80" s="841"/>
      <c r="O80" s="848"/>
    </row>
    <row r="81" spans="2:15" s="844" customFormat="1" ht="15.75">
      <c r="B81" s="849" t="s">
        <v>298</v>
      </c>
      <c r="C81" s="850"/>
      <c r="D81" s="851" t="s">
        <v>299</v>
      </c>
      <c r="F81" s="446"/>
      <c r="G81" s="443"/>
      <c r="H81" s="443" t="s">
        <v>302</v>
      </c>
      <c r="I81" s="443"/>
      <c r="J81" s="847">
        <f>+J80*1.24</f>
        <v>40865.315999999999</v>
      </c>
      <c r="L81" s="852" t="s">
        <v>446</v>
      </c>
      <c r="M81" s="853"/>
      <c r="N81" s="853" t="s">
        <v>308</v>
      </c>
      <c r="O81" s="1196">
        <v>66143.5</v>
      </c>
    </row>
    <row r="82" spans="2:15" s="844" customFormat="1" ht="15.75">
      <c r="B82" s="854" t="s">
        <v>295</v>
      </c>
      <c r="C82" s="855"/>
      <c r="D82" s="756">
        <v>105</v>
      </c>
      <c r="E82" s="856"/>
      <c r="F82" s="446"/>
      <c r="G82" s="443"/>
      <c r="H82" s="443" t="s">
        <v>303</v>
      </c>
      <c r="I82" s="443"/>
      <c r="J82" s="1233"/>
      <c r="L82" s="857"/>
      <c r="M82" s="457" t="s">
        <v>309</v>
      </c>
      <c r="N82" s="457"/>
      <c r="O82" s="858">
        <f>+O81*1.24</f>
        <v>82017.94</v>
      </c>
    </row>
    <row r="83" spans="2:15" s="844" customFormat="1" ht="16.5" thickBot="1">
      <c r="B83" s="859" t="s">
        <v>296</v>
      </c>
      <c r="C83" s="860"/>
      <c r="D83" s="757">
        <v>7</v>
      </c>
      <c r="E83" s="856"/>
      <c r="F83" s="446" t="s">
        <v>304</v>
      </c>
      <c r="G83" s="443"/>
      <c r="H83" s="443" t="s">
        <v>305</v>
      </c>
      <c r="I83" s="443"/>
      <c r="J83" s="883">
        <f>+(52-2-6)*37.5</f>
        <v>1650</v>
      </c>
      <c r="L83" s="885"/>
      <c r="M83" s="865" t="s">
        <v>341</v>
      </c>
      <c r="N83" s="886"/>
      <c r="O83" s="1146">
        <f>O82/J83</f>
        <v>49.707842424242429</v>
      </c>
    </row>
    <row r="84" spans="2:15" s="844" customFormat="1" ht="16.5" thickBot="1">
      <c r="B84" s="861" t="s">
        <v>297</v>
      </c>
      <c r="C84" s="862"/>
      <c r="D84" s="758">
        <v>28</v>
      </c>
      <c r="E84" s="856"/>
      <c r="F84" s="863"/>
      <c r="G84" s="864" t="s">
        <v>303</v>
      </c>
      <c r="H84" s="865" t="s">
        <v>341</v>
      </c>
      <c r="I84" s="864"/>
      <c r="J84" s="866">
        <f>ROUNDUP(J81/J83,0)</f>
        <v>25</v>
      </c>
      <c r="L84" s="457"/>
      <c r="M84" s="457"/>
      <c r="N84" s="457"/>
      <c r="O84" s="263"/>
    </row>
    <row r="85" spans="2:15" s="844" customFormat="1" ht="24.75" customHeight="1" thickBot="1">
      <c r="B85" s="1403" t="s">
        <v>300</v>
      </c>
      <c r="C85" s="1404"/>
      <c r="D85" s="867">
        <f>SUM(D82:D84)</f>
        <v>140</v>
      </c>
      <c r="F85" s="868" t="s">
        <v>323</v>
      </c>
      <c r="G85" s="869" t="s">
        <v>336</v>
      </c>
      <c r="H85" s="869" t="s">
        <v>337</v>
      </c>
      <c r="I85" s="869" t="s">
        <v>338</v>
      </c>
      <c r="J85" s="1197">
        <v>16700</v>
      </c>
      <c r="L85" s="457"/>
      <c r="M85" s="457"/>
      <c r="N85" s="457"/>
      <c r="O85" s="308"/>
    </row>
    <row r="86" spans="2:15" s="844" customFormat="1" ht="15.75">
      <c r="F86" s="870"/>
      <c r="G86" s="871"/>
      <c r="H86" s="871" t="s">
        <v>339</v>
      </c>
      <c r="I86" s="871"/>
      <c r="J86" s="872">
        <f>J85*1.23</f>
        <v>20541</v>
      </c>
      <c r="L86" s="355"/>
      <c r="M86" s="355"/>
      <c r="N86" s="355"/>
      <c r="O86" s="884"/>
    </row>
    <row r="87" spans="2:15" s="844" customFormat="1" ht="15.75">
      <c r="B87" s="874" t="s">
        <v>312</v>
      </c>
      <c r="D87" s="953">
        <v>3500</v>
      </c>
      <c r="F87" s="876"/>
      <c r="G87" s="443"/>
      <c r="H87" s="443" t="s">
        <v>340</v>
      </c>
      <c r="I87" s="443"/>
      <c r="J87" s="882">
        <v>1575</v>
      </c>
      <c r="K87" s="355"/>
      <c r="L87" s="355"/>
      <c r="M87" s="355"/>
      <c r="N87" s="877"/>
    </row>
    <row r="88" spans="2:15" s="844" customFormat="1" ht="16.5" thickBot="1">
      <c r="B88" s="874"/>
      <c r="D88" s="875"/>
      <c r="F88" s="873"/>
      <c r="G88" s="864"/>
      <c r="H88" s="865" t="s">
        <v>341</v>
      </c>
      <c r="I88" s="865"/>
      <c r="J88" s="878">
        <f>J86/J87</f>
        <v>13.041904761904762</v>
      </c>
      <c r="K88" s="355"/>
      <c r="L88" s="355"/>
      <c r="M88" s="355"/>
      <c r="N88" s="877"/>
    </row>
    <row r="89" spans="2:15" s="844" customFormat="1" ht="15.75">
      <c r="B89" s="874"/>
      <c r="D89" s="875"/>
      <c r="F89" s="355"/>
      <c r="G89" s="443"/>
      <c r="H89" s="443"/>
      <c r="I89" s="443"/>
      <c r="J89" s="409"/>
      <c r="K89" s="355"/>
      <c r="L89" s="355"/>
      <c r="M89" s="355"/>
      <c r="N89" s="877"/>
    </row>
    <row r="90" spans="2:15">
      <c r="F90" s="759" t="s">
        <v>786</v>
      </c>
    </row>
    <row r="91" spans="2:15" ht="15">
      <c r="B91" s="809" t="s">
        <v>108</v>
      </c>
      <c r="C91" s="819"/>
      <c r="D91" s="819"/>
      <c r="E91" s="754">
        <v>25</v>
      </c>
      <c r="F91" s="754">
        <v>49.707842424242429</v>
      </c>
    </row>
    <row r="92" spans="2:15">
      <c r="B92" s="819"/>
      <c r="C92" s="819"/>
      <c r="D92" s="819"/>
      <c r="E92" s="819"/>
      <c r="F92" s="819"/>
      <c r="G92" s="831"/>
    </row>
    <row r="93" spans="2:15">
      <c r="B93" s="819"/>
      <c r="C93" s="819"/>
      <c r="D93" s="819"/>
      <c r="E93" s="819"/>
      <c r="F93" s="819"/>
    </row>
    <row r="94" spans="2:15">
      <c r="B94" s="819"/>
      <c r="C94" s="819"/>
      <c r="D94" s="819"/>
      <c r="E94" s="879"/>
      <c r="F94" s="819"/>
    </row>
    <row r="95" spans="2:15">
      <c r="B95" s="819"/>
      <c r="C95" s="819"/>
      <c r="D95" s="819"/>
      <c r="E95" s="879"/>
      <c r="F95" s="819"/>
    </row>
    <row r="96" spans="2:15">
      <c r="B96" s="819"/>
      <c r="C96" s="819"/>
      <c r="D96" s="819"/>
      <c r="E96" s="879"/>
      <c r="F96" s="819"/>
    </row>
    <row r="97" spans="2:6">
      <c r="B97" s="819"/>
      <c r="C97" s="819"/>
      <c r="D97" s="819"/>
      <c r="E97" s="879"/>
      <c r="F97" s="819"/>
    </row>
    <row r="98" spans="2:6">
      <c r="B98" s="819"/>
      <c r="C98" s="819"/>
      <c r="D98" s="819"/>
      <c r="E98" s="879"/>
      <c r="F98" s="819"/>
    </row>
    <row r="99" spans="2:6">
      <c r="B99" s="819"/>
      <c r="C99" s="819"/>
      <c r="D99" s="819"/>
      <c r="E99" s="879"/>
      <c r="F99" s="819"/>
    </row>
    <row r="100" spans="2:6">
      <c r="B100" s="819"/>
      <c r="C100" s="819"/>
      <c r="D100" s="819"/>
      <c r="E100" s="879"/>
      <c r="F100" s="819"/>
    </row>
    <row r="101" spans="2:6">
      <c r="B101" s="819"/>
      <c r="C101" s="819"/>
      <c r="D101" s="819"/>
      <c r="E101" s="879"/>
      <c r="F101" s="819"/>
    </row>
    <row r="102" spans="2:6">
      <c r="B102" s="819"/>
      <c r="C102" s="819"/>
      <c r="D102" s="819"/>
      <c r="E102" s="879"/>
      <c r="F102" s="819"/>
    </row>
    <row r="103" spans="2:6">
      <c r="B103" s="819"/>
      <c r="C103" s="819"/>
      <c r="D103" s="819"/>
      <c r="E103" s="879"/>
      <c r="F103" s="819"/>
    </row>
    <row r="104" spans="2:6">
      <c r="B104" s="819"/>
      <c r="C104" s="819"/>
      <c r="D104" s="819"/>
      <c r="E104" s="879"/>
      <c r="F104" s="819"/>
    </row>
    <row r="105" spans="2:6">
      <c r="B105" s="819"/>
      <c r="C105" s="819"/>
      <c r="D105" s="819"/>
      <c r="E105" s="879"/>
      <c r="F105" s="819"/>
    </row>
    <row r="106" spans="2:6">
      <c r="B106" s="819"/>
      <c r="C106" s="819"/>
      <c r="D106" s="819"/>
      <c r="E106" s="879"/>
      <c r="F106" s="819"/>
    </row>
    <row r="107" spans="2:6">
      <c r="B107" s="819"/>
      <c r="C107" s="819"/>
      <c r="D107" s="819"/>
      <c r="E107" s="879"/>
      <c r="F107" s="819"/>
    </row>
    <row r="108" spans="2:6" ht="15">
      <c r="B108" s="880"/>
      <c r="C108" s="819"/>
      <c r="D108" s="819"/>
      <c r="E108" s="879"/>
      <c r="F108" s="819"/>
    </row>
    <row r="109" spans="2:6">
      <c r="B109" s="819"/>
      <c r="C109" s="819"/>
      <c r="D109" s="819"/>
      <c r="E109" s="819"/>
      <c r="F109" s="819"/>
    </row>
    <row r="110" spans="2:6">
      <c r="B110" s="819"/>
      <c r="C110" s="819"/>
      <c r="D110" s="819"/>
      <c r="E110" s="819"/>
      <c r="F110" s="819"/>
    </row>
  </sheetData>
  <sheetProtection password="C7D8" sheet="1" objects="1" scenarios="1"/>
  <mergeCells count="38">
    <mergeCell ref="O9:P10"/>
    <mergeCell ref="I59:L59"/>
    <mergeCell ref="B85:C85"/>
    <mergeCell ref="E30:K30"/>
    <mergeCell ref="J31:K31"/>
    <mergeCell ref="D60:D61"/>
    <mergeCell ref="E60:E61"/>
    <mergeCell ref="I60:I61"/>
    <mergeCell ref="L60:L61"/>
    <mergeCell ref="L31:L32"/>
    <mergeCell ref="B31:B32"/>
    <mergeCell ref="C31:C32"/>
    <mergeCell ref="J25:K25"/>
    <mergeCell ref="H31:H32"/>
    <mergeCell ref="G60:G61"/>
    <mergeCell ref="E59:H59"/>
    <mergeCell ref="F60:F61"/>
    <mergeCell ref="B60:C61"/>
    <mergeCell ref="B1:G1"/>
    <mergeCell ref="H60:H61"/>
    <mergeCell ref="F3:G3"/>
    <mergeCell ref="D3:E3"/>
    <mergeCell ref="H2:M2"/>
    <mergeCell ref="B2:G2"/>
    <mergeCell ref="B55:C55"/>
    <mergeCell ref="B58:C58"/>
    <mergeCell ref="J32:K32"/>
    <mergeCell ref="I31:I32"/>
    <mergeCell ref="J60:J61"/>
    <mergeCell ref="K60:K61"/>
    <mergeCell ref="B24:G24"/>
    <mergeCell ref="H15:O15"/>
    <mergeCell ref="F55:G55"/>
    <mergeCell ref="E31:E32"/>
    <mergeCell ref="F53:G53"/>
    <mergeCell ref="F31:F32"/>
    <mergeCell ref="G31:G32"/>
    <mergeCell ref="D31:D32"/>
  </mergeCells>
  <phoneticPr fontId="4" type="noConversion"/>
  <pageMargins left="0.7" right="0.7" top="0.75" bottom="0.75" header="0.3" footer="0.3"/>
  <pageSetup paperSize="9" orientation="portrait" r:id="rId1"/>
  <ignoredErrors>
    <ignoredError sqref="O83 J83 E49:E50 J80 C33:L46 H74:J74 E74:F74 D75 D72:D73 E62:F71 E75:F75 H62:J71 H75:J75 H72:J73 E72:F73 K62:L75 G62:G75 D62:D71 D74" unlockedFormula="1"/>
  </ignoredErrors>
</worksheet>
</file>

<file path=xl/worksheets/sheet9.xml><?xml version="1.0" encoding="utf-8"?>
<worksheet xmlns="http://schemas.openxmlformats.org/spreadsheetml/2006/main" xmlns:r="http://schemas.openxmlformats.org/officeDocument/2006/relationships">
  <sheetPr codeName="Sheet17" enableFormatConditionsCalculation="0">
    <tabColor indexed="34"/>
    <pageSetUpPr autoPageBreaks="0" fitToPage="1"/>
  </sheetPr>
  <dimension ref="A1:H84"/>
  <sheetViews>
    <sheetView showGridLines="0" showRowColHeaders="0" workbookViewId="0">
      <pane ySplit="6" topLeftCell="A7" activePane="bottomLeft" state="frozen"/>
      <selection pane="bottomLeft" sqref="A1:D1"/>
    </sheetView>
  </sheetViews>
  <sheetFormatPr defaultRowHeight="15"/>
  <cols>
    <col min="1" max="1" width="5" style="493" customWidth="1"/>
    <col min="2" max="2" width="60.21875" style="488" customWidth="1"/>
    <col min="3" max="3" width="10.21875" style="488" customWidth="1"/>
    <col min="4" max="4" width="9.88671875" style="332" customWidth="1"/>
    <col min="5" max="5" width="13.5546875" style="332" customWidth="1"/>
    <col min="6" max="6" width="10.44140625" style="332" customWidth="1"/>
    <col min="7" max="7" width="9.21875" style="332" customWidth="1"/>
    <col min="8" max="16384" width="8.88671875" style="332"/>
  </cols>
  <sheetData>
    <row r="1" spans="1:8" ht="80.099999999999994" customHeight="1">
      <c r="A1" s="1307" t="s">
        <v>797</v>
      </c>
      <c r="B1" s="1307"/>
      <c r="C1" s="1307"/>
      <c r="D1" s="1307"/>
      <c r="E1" s="330"/>
      <c r="F1" s="330"/>
      <c r="G1" s="330"/>
      <c r="H1" s="331"/>
    </row>
    <row r="2" spans="1:8" ht="15.75">
      <c r="A2" s="1428" t="s">
        <v>679</v>
      </c>
      <c r="B2" s="1428"/>
      <c r="C2" s="337"/>
    </row>
    <row r="3" spans="1:8" s="425" customFormat="1" ht="14.25" customHeight="1">
      <c r="A3" s="1286"/>
      <c r="B3" s="423"/>
      <c r="C3" s="423"/>
      <c r="D3" s="424"/>
      <c r="E3" s="424"/>
      <c r="F3" s="424"/>
      <c r="G3" s="424"/>
      <c r="H3" s="424"/>
    </row>
    <row r="4" spans="1:8" ht="15.75" thickBot="1">
      <c r="B4" s="426" t="s">
        <v>681</v>
      </c>
      <c r="C4" s="426"/>
    </row>
    <row r="5" spans="1:8" ht="28.5" customHeight="1" thickTop="1">
      <c r="A5" s="1287" t="s">
        <v>682</v>
      </c>
      <c r="B5" s="1429" t="s">
        <v>680</v>
      </c>
      <c r="C5" s="427"/>
      <c r="D5" s="428" t="str">
        <f>'STEP 1.Select NHS Board'!B7</f>
        <v>Select NHS board</v>
      </c>
      <c r="E5" s="429"/>
      <c r="G5" s="430"/>
      <c r="H5" s="431"/>
    </row>
    <row r="6" spans="1:8" ht="24" customHeight="1">
      <c r="A6" s="1288"/>
      <c r="B6" s="1430"/>
      <c r="C6" s="432" t="s">
        <v>815</v>
      </c>
      <c r="D6" s="370" t="s">
        <v>816</v>
      </c>
      <c r="E6" s="371" t="s">
        <v>817</v>
      </c>
      <c r="G6" s="430"/>
      <c r="H6" s="433"/>
    </row>
    <row r="7" spans="1:8" ht="15" customHeight="1">
      <c r="B7" s="434" t="s">
        <v>29</v>
      </c>
      <c r="C7" s="435"/>
      <c r="D7" s="436"/>
      <c r="E7" s="437"/>
      <c r="F7" s="438"/>
      <c r="G7" s="430"/>
      <c r="H7" s="433"/>
    </row>
    <row r="8" spans="1:8">
      <c r="B8" s="439" t="s">
        <v>707</v>
      </c>
      <c r="C8" s="440"/>
      <c r="D8" s="441"/>
      <c r="E8" s="442"/>
      <c r="F8" s="438"/>
      <c r="G8" s="443"/>
      <c r="H8" s="444"/>
    </row>
    <row r="9" spans="1:8">
      <c r="A9" s="1275">
        <v>1</v>
      </c>
      <c r="B9" s="445" t="s">
        <v>25</v>
      </c>
      <c r="C9" s="446"/>
      <c r="D9" s="447">
        <f>'Unit costs Insulin analogues'!$B$4</f>
        <v>0.91271540778464577</v>
      </c>
      <c r="E9" s="309">
        <v>6843129.3600000003</v>
      </c>
      <c r="F9" s="438"/>
      <c r="G9" s="443"/>
      <c r="H9" s="444"/>
    </row>
    <row r="10" spans="1:8">
      <c r="B10" s="445" t="s">
        <v>26</v>
      </c>
      <c r="C10" s="446"/>
      <c r="D10" s="447">
        <f>'Unit costs Insulin analogues'!$B$5</f>
        <v>8.728459221535427E-2</v>
      </c>
      <c r="E10" s="309">
        <v>654420.59</v>
      </c>
      <c r="F10" s="438"/>
    </row>
    <row r="11" spans="1:8">
      <c r="B11" s="439" t="s">
        <v>714</v>
      </c>
      <c r="C11" s="440"/>
      <c r="D11" s="444">
        <f>SUM($D$9:$D$10)</f>
        <v>1</v>
      </c>
      <c r="E11" s="312">
        <f>SUM($E$9:$E$10)</f>
        <v>7497549.9500000002</v>
      </c>
      <c r="F11" s="438"/>
    </row>
    <row r="12" spans="1:8">
      <c r="B12" s="439"/>
      <c r="C12" s="440"/>
      <c r="D12" s="444"/>
      <c r="E12" s="312"/>
      <c r="F12" s="438"/>
    </row>
    <row r="13" spans="1:8" ht="12.75" customHeight="1">
      <c r="B13" s="439" t="s">
        <v>30</v>
      </c>
      <c r="C13" s="440"/>
      <c r="D13" s="448"/>
      <c r="E13" s="312"/>
      <c r="F13" s="438"/>
    </row>
    <row r="14" spans="1:8" ht="18" customHeight="1">
      <c r="A14" s="1289">
        <v>2</v>
      </c>
      <c r="B14" s="445" t="s">
        <v>27</v>
      </c>
      <c r="C14" s="440"/>
      <c r="D14" s="444">
        <f>'Unit costs Insulin analogues'!$B$11</f>
        <v>0.8</v>
      </c>
      <c r="E14" s="312"/>
      <c r="F14" s="438"/>
    </row>
    <row r="15" spans="1:8" ht="15.75" customHeight="1">
      <c r="B15" s="445" t="s">
        <v>28</v>
      </c>
      <c r="C15" s="440"/>
      <c r="D15" s="444">
        <f>'Unit costs Insulin analogues'!$B$10</f>
        <v>0.2</v>
      </c>
      <c r="E15" s="312"/>
      <c r="F15" s="438"/>
    </row>
    <row r="16" spans="1:8" ht="15.75" customHeight="1">
      <c r="B16" s="439" t="s">
        <v>31</v>
      </c>
      <c r="C16" s="440"/>
      <c r="D16" s="444"/>
      <c r="E16" s="312"/>
      <c r="F16" s="438"/>
    </row>
    <row r="17" spans="1:6" ht="15.75" customHeight="1">
      <c r="A17" s="1432">
        <v>3</v>
      </c>
      <c r="B17" s="264" t="s">
        <v>32</v>
      </c>
      <c r="C17" s="449">
        <f>'Unit costs Insulin analogues'!$B$7</f>
        <v>29.14</v>
      </c>
      <c r="D17" s="444">
        <f>'Unit costs Insulin analogues'!$B$11</f>
        <v>0.8</v>
      </c>
      <c r="E17" s="309">
        <f>$D$17*$E$9</f>
        <v>5474503.4880000008</v>
      </c>
      <c r="F17" s="438"/>
    </row>
    <row r="18" spans="1:6" ht="15" customHeight="1">
      <c r="A18" s="1432"/>
      <c r="B18" s="264" t="s">
        <v>41</v>
      </c>
      <c r="C18" s="449">
        <f>'Unit costs Insulin analogues'!$B$6</f>
        <v>16.600000000000001</v>
      </c>
      <c r="D18" s="444">
        <f>'Unit costs Insulin analogues'!$B$10</f>
        <v>0.2</v>
      </c>
      <c r="E18" s="306">
        <f>$D$18*$E$9</f>
        <v>1368625.8720000002</v>
      </c>
      <c r="F18" s="438"/>
    </row>
    <row r="19" spans="1:6" ht="11.25" customHeight="1">
      <c r="A19" s="1432"/>
      <c r="B19" s="450"/>
      <c r="C19" s="446"/>
      <c r="D19" s="355"/>
      <c r="E19" s="451"/>
      <c r="F19" s="438"/>
    </row>
    <row r="20" spans="1:6" ht="8.25" customHeight="1">
      <c r="A20" s="1432"/>
      <c r="B20" s="237"/>
      <c r="C20" s="452"/>
      <c r="D20" s="426"/>
      <c r="E20" s="312"/>
      <c r="F20" s="438"/>
    </row>
    <row r="21" spans="1:6" ht="11.25" customHeight="1">
      <c r="A21" s="1432"/>
      <c r="B21" s="439" t="s">
        <v>33</v>
      </c>
      <c r="C21" s="440"/>
      <c r="D21" s="426"/>
      <c r="E21" s="312"/>
      <c r="F21" s="438"/>
    </row>
    <row r="22" spans="1:6" ht="15.75" customHeight="1">
      <c r="A22" s="1432"/>
      <c r="B22" s="237" t="s">
        <v>34</v>
      </c>
      <c r="C22" s="449">
        <f>'Unit costs Insulin analogues'!$B$9</f>
        <v>26.71</v>
      </c>
      <c r="D22" s="444">
        <f>'Unit costs Insulin analogues'!$B$11</f>
        <v>0.8</v>
      </c>
      <c r="E22" s="309">
        <f>$E$10*$D$22</f>
        <v>523536.47200000001</v>
      </c>
      <c r="F22" s="438"/>
    </row>
    <row r="23" spans="1:6" ht="15.75" customHeight="1">
      <c r="A23" s="1432"/>
      <c r="B23" s="237" t="s">
        <v>35</v>
      </c>
      <c r="C23" s="449">
        <f>'Unit costs Insulin analogues'!$B$8</f>
        <v>15.68</v>
      </c>
      <c r="D23" s="444">
        <f>'Unit costs Insulin analogues'!$B$10</f>
        <v>0.2</v>
      </c>
      <c r="E23" s="309">
        <f>$E$10*$D$23</f>
        <v>130884.118</v>
      </c>
      <c r="F23" s="438"/>
    </row>
    <row r="24" spans="1:6" ht="10.5" customHeight="1" thickBot="1">
      <c r="B24" s="439"/>
      <c r="C24" s="440"/>
      <c r="D24" s="426"/>
      <c r="E24" s="312"/>
      <c r="F24" s="438"/>
    </row>
    <row r="25" spans="1:6" ht="15.75" thickBot="1">
      <c r="B25" s="453" t="s">
        <v>700</v>
      </c>
      <c r="C25" s="454"/>
      <c r="D25" s="455"/>
      <c r="E25" s="456"/>
      <c r="F25" s="438"/>
    </row>
    <row r="26" spans="1:6" ht="9.75" customHeight="1">
      <c r="B26" s="439"/>
      <c r="C26" s="440"/>
      <c r="D26" s="457"/>
      <c r="E26" s="458"/>
      <c r="F26" s="438"/>
    </row>
    <row r="27" spans="1:6">
      <c r="A27" s="1289">
        <v>4</v>
      </c>
      <c r="B27" s="445" t="s">
        <v>701</v>
      </c>
      <c r="C27" s="440"/>
      <c r="D27" s="303">
        <v>100</v>
      </c>
      <c r="E27" s="458"/>
      <c r="F27" s="438"/>
    </row>
    <row r="28" spans="1:6" ht="6.75" customHeight="1">
      <c r="B28" s="445"/>
      <c r="C28" s="446"/>
      <c r="D28" s="263"/>
      <c r="E28" s="458"/>
      <c r="F28" s="438"/>
    </row>
    <row r="29" spans="1:6" ht="12" customHeight="1">
      <c r="B29" s="434" t="s">
        <v>36</v>
      </c>
      <c r="C29" s="459"/>
      <c r="D29" s="460"/>
      <c r="E29" s="437"/>
      <c r="F29" s="438"/>
    </row>
    <row r="30" spans="1:6" ht="12" customHeight="1">
      <c r="B30" s="461"/>
      <c r="C30" s="462"/>
      <c r="D30" s="441"/>
      <c r="E30" s="463"/>
      <c r="F30" s="464"/>
    </row>
    <row r="31" spans="1:6" ht="15" customHeight="1">
      <c r="B31" s="445" t="s">
        <v>37</v>
      </c>
      <c r="C31" s="446"/>
      <c r="D31" s="489">
        <f>'Unit costs Insulin analogues'!$B$4</f>
        <v>0.91271540778464577</v>
      </c>
      <c r="E31" s="465"/>
      <c r="F31" s="438"/>
    </row>
    <row r="32" spans="1:6" ht="15" customHeight="1">
      <c r="B32" s="445" t="s">
        <v>38</v>
      </c>
      <c r="C32" s="446"/>
      <c r="D32" s="227">
        <f>$D$31*$D$27</f>
        <v>91.271540778464583</v>
      </c>
      <c r="E32" s="465"/>
      <c r="F32" s="438"/>
    </row>
    <row r="33" spans="1:6" ht="15" customHeight="1">
      <c r="B33" s="445" t="s">
        <v>39</v>
      </c>
      <c r="C33" s="446"/>
      <c r="D33" s="489">
        <f>'Unit costs Insulin analogues'!$B$5</f>
        <v>8.728459221535427E-2</v>
      </c>
      <c r="E33" s="466"/>
      <c r="F33" s="438"/>
    </row>
    <row r="34" spans="1:6" ht="15" customHeight="1">
      <c r="B34" s="445" t="s">
        <v>40</v>
      </c>
      <c r="C34" s="446"/>
      <c r="D34" s="227">
        <f>$D$33*$D$27</f>
        <v>8.7284592215354273</v>
      </c>
      <c r="E34" s="465"/>
      <c r="F34" s="438"/>
    </row>
    <row r="35" spans="1:6" s="469" customFormat="1" ht="4.5" customHeight="1">
      <c r="A35" s="620"/>
      <c r="B35" s="439"/>
      <c r="C35" s="440"/>
      <c r="D35" s="444"/>
      <c r="E35" s="467"/>
      <c r="F35" s="468"/>
    </row>
    <row r="36" spans="1:6" s="469" customFormat="1" ht="13.5" customHeight="1">
      <c r="A36" s="620"/>
      <c r="B36" s="434" t="s">
        <v>30</v>
      </c>
      <c r="C36" s="435"/>
      <c r="D36" s="470"/>
      <c r="E36" s="321"/>
      <c r="F36" s="468"/>
    </row>
    <row r="37" spans="1:6" s="469" customFormat="1" ht="15" customHeight="1">
      <c r="A37" s="620"/>
      <c r="B37" s="445" t="s">
        <v>27</v>
      </c>
      <c r="C37" s="440"/>
      <c r="D37" s="490">
        <f>'Unit costs Insulin analogues'!$B$11</f>
        <v>0.8</v>
      </c>
      <c r="E37" s="312"/>
      <c r="F37" s="468"/>
    </row>
    <row r="38" spans="1:6" s="469" customFormat="1" ht="15" customHeight="1">
      <c r="A38" s="620"/>
      <c r="B38" s="445" t="s">
        <v>28</v>
      </c>
      <c r="C38" s="440"/>
      <c r="D38" s="490">
        <f>'Unit costs Insulin analogues'!$B$10</f>
        <v>0.2</v>
      </c>
      <c r="E38" s="312"/>
      <c r="F38" s="468"/>
    </row>
    <row r="39" spans="1:6" s="469" customFormat="1" ht="5.25" customHeight="1">
      <c r="A39" s="620"/>
      <c r="B39" s="445"/>
      <c r="C39" s="440"/>
      <c r="D39" s="444"/>
      <c r="E39" s="312"/>
      <c r="F39" s="468"/>
    </row>
    <row r="40" spans="1:6" s="469" customFormat="1" ht="15" customHeight="1">
      <c r="A40" s="620"/>
      <c r="B40" s="439" t="s">
        <v>31</v>
      </c>
      <c r="C40" s="440"/>
      <c r="D40" s="444"/>
      <c r="E40" s="312"/>
      <c r="F40" s="468"/>
    </row>
    <row r="41" spans="1:6" s="469" customFormat="1" ht="15" customHeight="1">
      <c r="A41" s="620"/>
      <c r="B41" s="264" t="s">
        <v>42</v>
      </c>
      <c r="C41" s="491">
        <f>'Unit costs Insulin analogues'!$B$7</f>
        <v>29.14</v>
      </c>
      <c r="D41" s="298">
        <f>$D$32*$D$37</f>
        <v>73.017232622771672</v>
      </c>
      <c r="E41" s="309">
        <f>$C$41*$D$41</f>
        <v>2127.7221586275664</v>
      </c>
      <c r="F41" s="468"/>
    </row>
    <row r="42" spans="1:6" s="469" customFormat="1" ht="15" customHeight="1">
      <c r="A42" s="620"/>
      <c r="B42" s="264" t="s">
        <v>43</v>
      </c>
      <c r="C42" s="491">
        <f>'Unit costs Insulin analogues'!$B$6</f>
        <v>16.600000000000001</v>
      </c>
      <c r="D42" s="298">
        <f>$D$32*$D$38</f>
        <v>18.254308155692918</v>
      </c>
      <c r="E42" s="306">
        <f>$C$42*$D$42</f>
        <v>303.02151538450249</v>
      </c>
      <c r="F42" s="468"/>
    </row>
    <row r="43" spans="1:6" s="469" customFormat="1" ht="12.75" customHeight="1">
      <c r="A43" s="620"/>
      <c r="B43" s="439" t="s">
        <v>45</v>
      </c>
      <c r="C43" s="446"/>
      <c r="D43" s="355"/>
      <c r="E43" s="312">
        <f>SUM($E$41:$E$42)</f>
        <v>2430.7436740120688</v>
      </c>
      <c r="F43" s="468"/>
    </row>
    <row r="44" spans="1:6" s="469" customFormat="1" ht="3.75" customHeight="1">
      <c r="A44" s="620"/>
      <c r="B44" s="472"/>
      <c r="C44" s="446"/>
      <c r="D44" s="355"/>
      <c r="E44" s="312"/>
      <c r="F44" s="468"/>
    </row>
    <row r="45" spans="1:6" s="469" customFormat="1" ht="12.75" customHeight="1">
      <c r="A45" s="620"/>
      <c r="B45" s="439" t="s">
        <v>33</v>
      </c>
      <c r="C45" s="440"/>
      <c r="D45" s="426"/>
      <c r="E45" s="312"/>
      <c r="F45" s="468"/>
    </row>
    <row r="46" spans="1:6" s="469" customFormat="1" ht="15" customHeight="1">
      <c r="A46" s="620"/>
      <c r="B46" s="237" t="s">
        <v>44</v>
      </c>
      <c r="C46" s="491">
        <f>'Unit costs Insulin analogues'!$B$9</f>
        <v>26.71</v>
      </c>
      <c r="D46" s="298">
        <f>$D$34*$D$37</f>
        <v>6.9827673772283418</v>
      </c>
      <c r="E46" s="309">
        <f>$C$46*$D$46</f>
        <v>186.509716645769</v>
      </c>
      <c r="F46" s="468"/>
    </row>
    <row r="47" spans="1:6" s="469" customFormat="1" ht="13.5" customHeight="1">
      <c r="A47" s="620"/>
      <c r="B47" s="237" t="s">
        <v>46</v>
      </c>
      <c r="C47" s="491">
        <f>'Unit costs Insulin analogues'!$B$8</f>
        <v>15.68</v>
      </c>
      <c r="D47" s="298">
        <f>$D$34*$D$38</f>
        <v>1.7456918443070855</v>
      </c>
      <c r="E47" s="309">
        <f>$C$47*$D$47</f>
        <v>27.3724481187351</v>
      </c>
      <c r="F47" s="468"/>
    </row>
    <row r="48" spans="1:6" s="469" customFormat="1" ht="13.5" customHeight="1" thickBot="1">
      <c r="A48" s="620"/>
      <c r="B48" s="439" t="s">
        <v>45</v>
      </c>
      <c r="C48" s="449"/>
      <c r="D48" s="260"/>
      <c r="E48" s="312">
        <f>SUM(E46:E47)</f>
        <v>213.8821647645041</v>
      </c>
      <c r="F48" s="468"/>
    </row>
    <row r="49" spans="1:6" s="469" customFormat="1" ht="19.5" customHeight="1" thickBot="1">
      <c r="A49" s="620"/>
      <c r="B49" s="473" t="s">
        <v>47</v>
      </c>
      <c r="C49" s="474"/>
      <c r="D49" s="475"/>
      <c r="E49" s="476">
        <f>$E$43+$E$48</f>
        <v>2644.6258387765729</v>
      </c>
      <c r="F49" s="468"/>
    </row>
    <row r="50" spans="1:6" s="469" customFormat="1" ht="8.25" customHeight="1">
      <c r="A50" s="620"/>
      <c r="B50" s="237"/>
      <c r="C50" s="449"/>
      <c r="D50" s="260"/>
      <c r="E50" s="309"/>
      <c r="F50" s="468"/>
    </row>
    <row r="51" spans="1:6" s="469" customFormat="1" ht="13.5" customHeight="1">
      <c r="A51" s="620"/>
      <c r="B51" s="477" t="s">
        <v>48</v>
      </c>
      <c r="C51" s="478"/>
      <c r="D51" s="479"/>
      <c r="E51" s="480"/>
      <c r="F51" s="468"/>
    </row>
    <row r="52" spans="1:6" s="469" customFormat="1" ht="13.5" customHeight="1">
      <c r="A52" s="620"/>
      <c r="B52" s="461"/>
      <c r="C52" s="462"/>
      <c r="D52" s="441"/>
      <c r="E52" s="463"/>
      <c r="F52" s="468"/>
    </row>
    <row r="53" spans="1:6" s="469" customFormat="1" ht="13.5" customHeight="1">
      <c r="A53" s="620"/>
      <c r="B53" s="445" t="s">
        <v>37</v>
      </c>
      <c r="C53" s="446"/>
      <c r="D53" s="492">
        <f>'Unit costs Insulin analogues'!$B$14</f>
        <v>0.7</v>
      </c>
      <c r="E53" s="465"/>
      <c r="F53" s="468"/>
    </row>
    <row r="54" spans="1:6" s="469" customFormat="1" ht="13.5" customHeight="1">
      <c r="A54" s="620"/>
      <c r="B54" s="445" t="s">
        <v>38</v>
      </c>
      <c r="C54" s="446"/>
      <c r="D54" s="227">
        <f>$D$27*$D$53</f>
        <v>70</v>
      </c>
      <c r="E54" s="465"/>
      <c r="F54" s="468"/>
    </row>
    <row r="55" spans="1:6" s="469" customFormat="1" ht="13.5" customHeight="1">
      <c r="A55" s="620"/>
      <c r="B55" s="445" t="s">
        <v>39</v>
      </c>
      <c r="C55" s="446"/>
      <c r="D55" s="492">
        <f>'Unit costs Insulin analogues'!$B$13</f>
        <v>0.3</v>
      </c>
      <c r="E55" s="466"/>
      <c r="F55" s="468"/>
    </row>
    <row r="56" spans="1:6" s="469" customFormat="1" ht="13.5" customHeight="1">
      <c r="A56" s="620"/>
      <c r="B56" s="445" t="s">
        <v>40</v>
      </c>
      <c r="C56" s="446"/>
      <c r="D56" s="227">
        <f>$D$27*$D$55</f>
        <v>30</v>
      </c>
      <c r="E56" s="465"/>
      <c r="F56" s="468"/>
    </row>
    <row r="57" spans="1:6" s="469" customFormat="1" ht="9.75" customHeight="1">
      <c r="A57" s="620"/>
      <c r="B57" s="439"/>
      <c r="C57" s="440"/>
      <c r="D57" s="444"/>
      <c r="E57" s="467"/>
      <c r="F57" s="468"/>
    </row>
    <row r="58" spans="1:6" s="469" customFormat="1" ht="13.5" customHeight="1">
      <c r="A58" s="620"/>
      <c r="B58" s="434" t="s">
        <v>30</v>
      </c>
      <c r="C58" s="435"/>
      <c r="D58" s="470"/>
      <c r="E58" s="321"/>
      <c r="F58" s="468"/>
    </row>
    <row r="59" spans="1:6" s="469" customFormat="1" ht="13.5" customHeight="1">
      <c r="A59" s="620"/>
      <c r="B59" s="445" t="s">
        <v>27</v>
      </c>
      <c r="C59" s="440"/>
      <c r="D59" s="490">
        <f>'Unit costs Insulin analogues'!$B$11</f>
        <v>0.8</v>
      </c>
      <c r="E59" s="312"/>
      <c r="F59" s="468"/>
    </row>
    <row r="60" spans="1:6" s="469" customFormat="1" ht="13.5" customHeight="1">
      <c r="A60" s="620"/>
      <c r="B60" s="445" t="s">
        <v>28</v>
      </c>
      <c r="C60" s="440"/>
      <c r="D60" s="490">
        <f>'Unit costs Insulin analogues'!$B$10</f>
        <v>0.2</v>
      </c>
      <c r="E60" s="312"/>
      <c r="F60" s="468"/>
    </row>
    <row r="61" spans="1:6" s="469" customFormat="1" ht="9" customHeight="1">
      <c r="A61" s="620"/>
      <c r="B61" s="445"/>
      <c r="C61" s="440"/>
      <c r="D61" s="444"/>
      <c r="E61" s="312"/>
      <c r="F61" s="468"/>
    </row>
    <row r="62" spans="1:6" s="469" customFormat="1" ht="13.5" customHeight="1">
      <c r="A62" s="620"/>
      <c r="B62" s="439" t="s">
        <v>31</v>
      </c>
      <c r="C62" s="440"/>
      <c r="D62" s="444"/>
      <c r="E62" s="312"/>
      <c r="F62" s="468"/>
    </row>
    <row r="63" spans="1:6" s="469" customFormat="1" ht="13.5" customHeight="1">
      <c r="A63" s="620"/>
      <c r="B63" s="264" t="s">
        <v>42</v>
      </c>
      <c r="C63" s="491">
        <f>'Unit costs Insulin analogues'!$B$7</f>
        <v>29.14</v>
      </c>
      <c r="D63" s="298">
        <f>$D$54*$D$59</f>
        <v>56</v>
      </c>
      <c r="E63" s="309">
        <f>$C$63*$D$63</f>
        <v>1631.8400000000001</v>
      </c>
      <c r="F63" s="468"/>
    </row>
    <row r="64" spans="1:6" s="469" customFormat="1" ht="13.5" customHeight="1">
      <c r="A64" s="620"/>
      <c r="B64" s="264" t="s">
        <v>43</v>
      </c>
      <c r="C64" s="491">
        <f>'Unit costs Insulin analogues'!$B$6</f>
        <v>16.600000000000001</v>
      </c>
      <c r="D64" s="298">
        <f>$D$54*$D$60</f>
        <v>14</v>
      </c>
      <c r="E64" s="306">
        <f>$C$64*$D$64</f>
        <v>232.40000000000003</v>
      </c>
      <c r="F64" s="468"/>
    </row>
    <row r="65" spans="1:8" s="469" customFormat="1" ht="13.5" customHeight="1">
      <c r="A65" s="620"/>
      <c r="B65" s="439" t="s">
        <v>45</v>
      </c>
      <c r="C65" s="446"/>
      <c r="D65" s="355"/>
      <c r="E65" s="312">
        <f>SUM($E$63:$E$64)</f>
        <v>1864.2400000000002</v>
      </c>
      <c r="F65" s="468"/>
    </row>
    <row r="66" spans="1:8" s="469" customFormat="1" ht="6" customHeight="1">
      <c r="A66" s="620"/>
      <c r="B66" s="472"/>
      <c r="C66" s="446"/>
      <c r="D66" s="355"/>
      <c r="E66" s="312"/>
      <c r="F66" s="468"/>
    </row>
    <row r="67" spans="1:8" s="469" customFormat="1" ht="13.5" customHeight="1">
      <c r="A67" s="620"/>
      <c r="B67" s="439" t="s">
        <v>33</v>
      </c>
      <c r="C67" s="440"/>
      <c r="D67" s="426"/>
      <c r="E67" s="312"/>
      <c r="F67" s="468"/>
    </row>
    <row r="68" spans="1:8" s="469" customFormat="1" ht="13.5" customHeight="1">
      <c r="A68" s="620"/>
      <c r="B68" s="237" t="s">
        <v>44</v>
      </c>
      <c r="C68" s="491">
        <f>'Unit costs Insulin analogues'!$B$9</f>
        <v>26.71</v>
      </c>
      <c r="D68" s="298">
        <f>$D$56*$D$59</f>
        <v>24</v>
      </c>
      <c r="E68" s="309">
        <f>$C$68*$D$68</f>
        <v>641.04</v>
      </c>
      <c r="F68" s="468"/>
    </row>
    <row r="69" spans="1:8" s="469" customFormat="1" ht="13.5" customHeight="1">
      <c r="A69" s="620"/>
      <c r="B69" s="237" t="s">
        <v>46</v>
      </c>
      <c r="C69" s="491">
        <f>'Unit costs Insulin analogues'!$B$8</f>
        <v>15.68</v>
      </c>
      <c r="D69" s="298">
        <f>$D$56*$D$60</f>
        <v>6</v>
      </c>
      <c r="E69" s="309">
        <f>$C$69*$D$69</f>
        <v>94.08</v>
      </c>
      <c r="F69" s="468"/>
    </row>
    <row r="70" spans="1:8" s="469" customFormat="1" ht="13.5" customHeight="1">
      <c r="A70" s="620"/>
      <c r="B70" s="439" t="s">
        <v>45</v>
      </c>
      <c r="C70" s="449"/>
      <c r="D70" s="260"/>
      <c r="E70" s="312">
        <f>SUM($E$68:$E$69)</f>
        <v>735.12</v>
      </c>
      <c r="F70" s="468"/>
    </row>
    <row r="71" spans="1:8" s="469" customFormat="1" ht="13.5" customHeight="1" thickBot="1">
      <c r="A71" s="620"/>
      <c r="B71" s="233" t="s">
        <v>49</v>
      </c>
      <c r="C71" s="481"/>
      <c r="D71" s="482"/>
      <c r="E71" s="321">
        <f>$E$65+$E$70</f>
        <v>2599.36</v>
      </c>
      <c r="F71" s="468"/>
    </row>
    <row r="72" spans="1:8" ht="16.5" thickBot="1">
      <c r="B72" s="483" t="s">
        <v>50</v>
      </c>
      <c r="C72" s="484"/>
      <c r="D72" s="485"/>
      <c r="E72" s="486">
        <f>$E$49-$E$71</f>
        <v>45.265838776572764</v>
      </c>
      <c r="H72" s="487"/>
    </row>
    <row r="73" spans="1:8" ht="15.75" thickTop="1"/>
    <row r="74" spans="1:8">
      <c r="A74" s="1280" t="s">
        <v>151</v>
      </c>
      <c r="B74" s="1249" t="s">
        <v>152</v>
      </c>
    </row>
    <row r="75" spans="1:8" ht="24.75" customHeight="1">
      <c r="A75" s="1281">
        <v>1</v>
      </c>
      <c r="B75" s="1431" t="s">
        <v>868</v>
      </c>
      <c r="C75" s="1431"/>
      <c r="D75" s="1431"/>
      <c r="E75" s="1431"/>
    </row>
    <row r="76" spans="1:8">
      <c r="A76" s="493">
        <v>2</v>
      </c>
      <c r="B76" s="1285" t="s">
        <v>867</v>
      </c>
      <c r="C76" s="1281"/>
      <c r="D76" s="1281"/>
      <c r="E76" s="1281"/>
    </row>
    <row r="77" spans="1:8">
      <c r="A77" s="493">
        <v>3</v>
      </c>
      <c r="B77" s="1284" t="s">
        <v>869</v>
      </c>
      <c r="C77" s="1281"/>
      <c r="D77" s="1281"/>
      <c r="E77" s="1281"/>
    </row>
    <row r="78" spans="1:8">
      <c r="A78" s="493">
        <v>4</v>
      </c>
      <c r="B78" s="1427" t="s">
        <v>870</v>
      </c>
      <c r="C78" s="1427"/>
      <c r="D78" s="1427"/>
      <c r="E78" s="1427"/>
    </row>
    <row r="79" spans="1:8">
      <c r="B79" s="1281"/>
      <c r="C79" s="1281"/>
      <c r="D79" s="1281"/>
      <c r="E79" s="1281"/>
    </row>
    <row r="80" spans="1:8">
      <c r="B80" s="1281"/>
      <c r="C80" s="1281"/>
      <c r="D80" s="1281"/>
      <c r="E80" s="1281"/>
    </row>
    <row r="81" spans="2:5">
      <c r="B81" s="1281"/>
      <c r="C81" s="1281"/>
      <c r="D81" s="1281"/>
      <c r="E81" s="1281"/>
    </row>
    <row r="82" spans="2:5">
      <c r="B82" s="1281"/>
      <c r="C82" s="1281"/>
      <c r="D82" s="1281"/>
      <c r="E82" s="1281"/>
    </row>
    <row r="83" spans="2:5">
      <c r="B83" s="1281"/>
      <c r="C83" s="1281"/>
      <c r="D83" s="1281"/>
      <c r="E83" s="1281"/>
    </row>
    <row r="84" spans="2:5">
      <c r="B84" s="1281"/>
      <c r="C84" s="1281"/>
      <c r="D84" s="1281"/>
      <c r="E84" s="1281"/>
    </row>
  </sheetData>
  <sheetProtection password="C7D8" sheet="1" objects="1" scenarios="1"/>
  <mergeCells count="6">
    <mergeCell ref="B78:E78"/>
    <mergeCell ref="A1:D1"/>
    <mergeCell ref="A2:B2"/>
    <mergeCell ref="B5:B6"/>
    <mergeCell ref="B75:E75"/>
    <mergeCell ref="A17:A23"/>
  </mergeCells>
  <phoneticPr fontId="4" type="noConversion"/>
  <dataValidations xWindow="993" yWindow="308" count="2">
    <dataValidation allowBlank="1" showInputMessage="1" showErrorMessage="1" promptTitle="NHS board selected" prompt="'Select Health board' will change to NHS board selected in STEP 1.  Costs are based on the NHS board selected in step 1. " sqref="D5"/>
    <dataValidation allowBlank="1" showInputMessage="1" showErrorMessage="1" promptTitle="Notes" prompt="_x000a_Click on a number below to be provided with a information relating to the corresponding part of the model." sqref="A5"/>
  </dataValidations>
  <hyperlinks>
    <hyperlink ref="A9" location="'STEP 2. Insulin analogues'!A75" display="'STEP 2. Insulin analogues'!A75"/>
    <hyperlink ref="A14" location="'STEP 2. Insulin analogues'!A76" display="'STEP 2. Insulin analogues'!A76"/>
    <hyperlink ref="A17:A18" location="'STEP 2. Insulin analogues'!A77" display="'STEP 2. Insulin analogues'!A77"/>
    <hyperlink ref="A27" location="'STEP 2. Insulin analogues'!A78" display="'STEP 2. Insulin analogues'!A78"/>
  </hyperlinks>
  <pageMargins left="0.75" right="0.75" top="1" bottom="1" header="0.5" footer="0.5"/>
  <pageSetup paperSize="8" scale="84" orientation="portrait" r:id="rId1"/>
  <headerFooter alignWithMargins="0"/>
  <colBreaks count="1" manualBreakCount="1">
    <brk id="5" max="1048575" man="1"/>
  </colBreaks>
  <ignoredErrors>
    <ignoredError sqref="C63:C64 D34 D37:D38 C41:C42 C46:C47 D56 D31:D33 C68:C69 D46:D47 D53:D55 D41:D42 D59:D60 D63:D69"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9</vt:i4>
      </vt:variant>
    </vt:vector>
  </HeadingPairs>
  <TitlesOfParts>
    <vt:vector size="29" baseType="lpstr">
      <vt:lpstr>Title page</vt:lpstr>
      <vt:lpstr>How to use this document </vt:lpstr>
      <vt:lpstr>Recommendations</vt:lpstr>
      <vt:lpstr>STEP 1.Select NHS Board</vt:lpstr>
      <vt:lpstr>STEP 2. Education</vt:lpstr>
      <vt:lpstr>Structured education unit costs</vt:lpstr>
      <vt:lpstr>STEP 2. Psychological Interv'ns</vt:lpstr>
      <vt:lpstr>Psychological unit costs </vt:lpstr>
      <vt:lpstr>STEP 2. Insulin analogues</vt:lpstr>
      <vt:lpstr>Unit costs Insulin analogues</vt:lpstr>
      <vt:lpstr>STEP 2. CSII</vt:lpstr>
      <vt:lpstr>CSII assumptions&amp;unit costs</vt:lpstr>
      <vt:lpstr>STEP 2. Gestational diabetes</vt:lpstr>
      <vt:lpstr>GDM Unit costs</vt:lpstr>
      <vt:lpstr>STEP 2.Lipid-lowering therapy</vt:lpstr>
      <vt:lpstr>Unit £s Lipid-lowering therapy</vt:lpstr>
      <vt:lpstr>STEP 2.Drug-eluting stents</vt:lpstr>
      <vt:lpstr>Unit costs DES</vt:lpstr>
      <vt:lpstr>SDS 2009 Diabetes by NHS board</vt:lpstr>
      <vt:lpstr>STEP 3. Costing report </vt:lpstr>
      <vt:lpstr>'How to use this document '!Print_Area</vt:lpstr>
      <vt:lpstr>'SDS 2009 Diabetes by NHS board'!Print_Area</vt:lpstr>
      <vt:lpstr>'STEP 1.Select NHS Board'!Print_Area</vt:lpstr>
      <vt:lpstr>'STEP 2. Education'!Print_Area</vt:lpstr>
      <vt:lpstr>'STEP 2. Gestational diabetes'!Print_Area</vt:lpstr>
      <vt:lpstr>'STEP 2. Insulin analogues'!Print_Area</vt:lpstr>
      <vt:lpstr>'STEP 2.Drug-eluting stents'!Print_Area</vt:lpstr>
      <vt:lpstr>'STEP 3. Costing report '!Print_Area</vt:lpstr>
      <vt:lpstr>'Structured education unit costs'!Print_Area</vt:lpstr>
    </vt:vector>
  </TitlesOfParts>
  <Company>NHS QIS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Costing templates for SIGN Management of Diabetes</dc:title>
  <dc:subject>Diabetes</dc:subject>
  <dc:creator>Lisa Wilson</dc:creator>
  <cp:keywords>Diabetes, SIGN, costing templates</cp:keywords>
  <dc:description>Feedback or suggestions on how to improve this document are welcome.</dc:description>
  <cp:lastModifiedBy>lisaw</cp:lastModifiedBy>
  <cp:lastPrinted>2010-07-28T13:48:44Z</cp:lastPrinted>
  <dcterms:created xsi:type="dcterms:W3CDTF">2009-11-13T10:23:09Z</dcterms:created>
  <dcterms:modified xsi:type="dcterms:W3CDTF">2011-09-02T13:03:40Z</dcterms:modified>
  <cp:category>Diabetes</cp:category>
</cp:coreProperties>
</file>